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Zal_1_WPF_wg_przeplywow" sheetId="1" r:id="rId1"/>
  </sheets>
  <externalReferences>
    <externalReference r:id="rId4"/>
  </externalReferences>
  <definedNames>
    <definedName name="_xlnm.Print_Titles" localSheetId="0">'Zal_1_WPF_wg_przeplywow'!$A:$B,'Zal_1_WPF_wg_przeplywow'!$7:$8</definedName>
  </definedNames>
  <calcPr fullCalcOnLoad="1"/>
</workbook>
</file>

<file path=xl/sharedStrings.xml><?xml version="1.0" encoding="utf-8"?>
<sst xmlns="http://schemas.openxmlformats.org/spreadsheetml/2006/main" count="75" uniqueCount="72">
  <si>
    <t>Numer Uchwały:</t>
  </si>
  <si>
    <t>XXXV/447/2013</t>
  </si>
  <si>
    <t>Nazwa JST:</t>
  </si>
  <si>
    <t>WPF za lata:</t>
  </si>
  <si>
    <t>2013-2023</t>
  </si>
  <si>
    <t>Lp.</t>
  </si>
  <si>
    <t>Wyszczególnienie</t>
  </si>
  <si>
    <t>2013</t>
  </si>
  <si>
    <t>Dochody ogółem, z tego:</t>
  </si>
  <si>
    <t xml:space="preserve">dochody bieżące, w tym: </t>
  </si>
  <si>
    <t>środki na programy, projekty lub zadania finansowane z udziałem środków, o których mowa w art. 5 ust. 1 pkt 2 ustawy, w tym:</t>
  </si>
  <si>
    <t>środki określone w art. 5 ust. 1 pkt 2 ustawy</t>
  </si>
  <si>
    <t xml:space="preserve"> dochody majątkowe, w tym:</t>
  </si>
  <si>
    <t>ze sprzedaży majątku</t>
  </si>
  <si>
    <t>środki na programy, projekty lub zadania finansowane z udziałem środków, o których mowa w art. 5 ust. 1 pkt 2, w tym:</t>
  </si>
  <si>
    <t xml:space="preserve">środki określone w art. 5 ust. 1 pkt 2 ustawy 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</si>
  <si>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</si>
  <si>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</si>
  <si>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</si>
  <si>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z tytułu gwarancji i poręczeń, w tym: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</si>
  <si>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</si>
  <si>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</si>
  <si>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</si>
  <si>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</si>
  <si>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</si>
  <si>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Różnica (1-2)</t>
  </si>
  <si>
    <t>Nadwyżka budżetowa z lat ubiegłych angażowana w budżecie roku bieżącego</t>
  </si>
  <si>
    <t xml:space="preserve"> w tym: na pokrycie deficytu budżetu</t>
  </si>
  <si>
    <t>Wolne środki, o których mowa w art. 217 ust. 2 pkt 6 ufp, angażowane w budżecie roku bieżącego</t>
  </si>
  <si>
    <t>Inne przychody nie związane z zaciągnięciem długu</t>
  </si>
  <si>
    <t>Środki do dyspozycji (3+4+5)</t>
  </si>
  <si>
    <t>Spłata i obsługa długu, z tego:</t>
  </si>
  <si>
    <t xml:space="preserve"> rozchody z tytułu spłaty rat kapitałowych oraz wykupu papierów wartościowych, w tym:</t>
  </si>
  <si>
    <t xml:space="preserve">  kwota wyłączeń z art. 243 ust. 3 pkt 1 ufp oraz art. 169 ust. 3 sufp przypadająca na dany rok budżetowy</t>
  </si>
  <si>
    <t xml:space="preserve"> wydatki bieżące na obsługę długu, w tym:</t>
  </si>
  <si>
    <t xml:space="preserve">  odsetki i dyskonto</t>
  </si>
  <si>
    <t>Inne rozchody (bez spłaty długu np. udzielane pożyczki)</t>
  </si>
  <si>
    <t>Środki do dyspozycji (6-7-8)</t>
  </si>
  <si>
    <t>Wydatki majątkowe, w tym:</t>
  </si>
  <si>
    <t xml:space="preserve"> wydatki majątkowe objęte limitem art. 226 ust. 4 ufp</t>
  </si>
  <si>
    <t xml:space="preserve"> na projekty realizowane przy udziale środków, o których mowa w art. 5 ust. 1 pkt 2, w tym:</t>
  </si>
  <si>
    <t xml:space="preserve">  finansowane środkami określonymi w art. 5 ust. 1 pkt 2 ustawy</t>
  </si>
  <si>
    <t>Kredyty, pożyczki, sprzedaż papierów wartościowych</t>
  </si>
  <si>
    <t>Rozliczenie budżetu (9-10+11)</t>
  </si>
  <si>
    <t>Kwota długu, w tym:</t>
  </si>
  <si>
    <t xml:space="preserve"> dług spłacany wydatkami (zobowiązania wymagalne, umowy zaliczane do kategorii kredytów i pożyczek, itp.)</t>
  </si>
  <si>
    <t>Łączna kwota wyłączeń z art. 170 ust. 3 sufp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</si>
  <si>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</si>
  <si>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</si>
  <si>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</si>
  <si>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</si>
  <si>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</si>
  <si>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</si>
  <si>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>Relacja (Db-Wb+Dsm)/Do, o której mowa w art. 243 w danym roku</t>
  </si>
  <si>
    <t>Maksymalny dopuszczalny wskaźnik spłaty z art. 243 ufp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</si>
  <si>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</si>
  <si>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</si>
  <si>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</si>
  <si>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</si>
  <si>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</si>
  <si>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</si>
  <si>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</si>
  <si>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Dochody bieżące</t>
  </si>
  <si>
    <t>Wydatki bieżące razem</t>
  </si>
  <si>
    <t>Dochody bieżące - wydatki bieżące</t>
  </si>
  <si>
    <t>Dochody ogółem</t>
  </si>
  <si>
    <t>Wydatki ogółem</t>
  </si>
  <si>
    <t>Wynik budżetu</t>
  </si>
  <si>
    <t>Przychody budżetu</t>
  </si>
  <si>
    <t>Rozchody budżetu</t>
  </si>
  <si>
    <t>* środki, o których mowa w art. 5 ust. 1 pkt 2 ustawy o finansach publicznych z 2009 r.</t>
  </si>
  <si>
    <t>** Przeznaczenie planowanej nadwyżki budżetowej jest szczegółowo opisane w objaśnieniach.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</si>
</sst>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28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2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 vertical="center"/>
    </xf>
    <xf numFmtId="0" fontId="21" fillId="8" borderId="0" xfId="0" applyFont="1" applyFill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8" borderId="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2" fillId="0" borderId="11" xfId="96" applyNumberFormat="1" applyFont="1" applyFill="1" applyBorder="1" applyAlignment="1">
      <alignment horizontal="center" vertical="center"/>
      <protection/>
    </xf>
    <xf numFmtId="49" fontId="22" fillId="0" borderId="11" xfId="96" applyNumberFormat="1" applyFont="1" applyFill="1" applyBorder="1" applyAlignment="1">
      <alignment horizontal="center" vertical="center" wrapText="1"/>
      <protection/>
    </xf>
    <xf numFmtId="49" fontId="22" fillId="0" borderId="11" xfId="96" applyNumberFormat="1" applyFont="1" applyFill="1" applyBorder="1" applyAlignment="1">
      <alignment horizontal="center"/>
      <protection/>
    </xf>
    <xf numFmtId="0" fontId="22" fillId="0" borderId="12" xfId="96" applyFont="1" applyFill="1" applyBorder="1" applyAlignment="1">
      <alignment horizontal="center" vertical="center"/>
      <protection/>
    </xf>
    <xf numFmtId="0" fontId="22" fillId="0" borderId="12" xfId="96" applyFont="1" applyFill="1" applyBorder="1" applyAlignment="1">
      <alignment vertical="center" wrapText="1"/>
      <protection/>
    </xf>
    <xf numFmtId="166" fontId="23" fillId="0" borderId="12" xfId="96" applyNumberFormat="1" applyFont="1" applyFill="1" applyBorder="1" applyAlignment="1" applyProtection="1">
      <alignment vertical="center"/>
      <protection locked="0"/>
    </xf>
    <xf numFmtId="0" fontId="23" fillId="0" borderId="13" xfId="96" applyFont="1" applyFill="1" applyBorder="1" applyAlignment="1">
      <alignment horizontal="center" vertical="center"/>
      <protection/>
    </xf>
    <xf numFmtId="0" fontId="23" fillId="0" borderId="13" xfId="96" applyFont="1" applyFill="1" applyBorder="1" applyAlignment="1">
      <alignment horizontal="left" vertical="center" wrapText="1" indent="1"/>
      <protection/>
    </xf>
    <xf numFmtId="166" fontId="23" fillId="0" borderId="13" xfId="96" applyNumberFormat="1" applyFont="1" applyFill="1" applyBorder="1" applyAlignment="1" applyProtection="1">
      <alignment vertical="center"/>
      <protection locked="0"/>
    </xf>
    <xf numFmtId="0" fontId="23" fillId="0" borderId="13" xfId="96" applyFont="1" applyFill="1" applyBorder="1" applyAlignment="1">
      <alignment horizontal="left" vertical="center" wrapText="1" indent="2"/>
      <protection/>
    </xf>
    <xf numFmtId="0" fontId="23" fillId="0" borderId="13" xfId="96" applyFont="1" applyFill="1" applyBorder="1" applyAlignment="1">
      <alignment horizontal="left" vertical="center" wrapText="1" indent="3"/>
      <protection/>
    </xf>
    <xf numFmtId="0" fontId="23" fillId="0" borderId="13" xfId="96" applyFont="1" applyFill="1" applyBorder="1" applyAlignment="1" quotePrefix="1">
      <alignment horizontal="left" vertical="center" wrapText="1" indent="1"/>
      <protection/>
    </xf>
    <xf numFmtId="0" fontId="23" fillId="0" borderId="14" xfId="96" applyFont="1" applyFill="1" applyBorder="1" applyAlignment="1">
      <alignment horizontal="center" vertical="center"/>
      <protection/>
    </xf>
    <xf numFmtId="0" fontId="23" fillId="0" borderId="14" xfId="96" applyFont="1" applyFill="1" applyBorder="1" applyAlignment="1">
      <alignment horizontal="left" vertical="center" wrapText="1" indent="3"/>
      <protection/>
    </xf>
    <xf numFmtId="166" fontId="23" fillId="0" borderId="14" xfId="96" applyNumberFormat="1" applyFont="1" applyFill="1" applyBorder="1" applyAlignment="1" applyProtection="1">
      <alignment vertical="center"/>
      <protection locked="0"/>
    </xf>
    <xf numFmtId="0" fontId="24" fillId="0" borderId="13" xfId="96" applyFont="1" applyFill="1" applyBorder="1" applyAlignment="1">
      <alignment horizontal="left" vertical="center" wrapText="1" indent="2"/>
      <protection/>
    </xf>
    <xf numFmtId="0" fontId="24" fillId="0" borderId="13" xfId="96" applyFont="1" applyFill="1" applyBorder="1" applyAlignment="1">
      <alignment horizontal="left" vertical="center" wrapText="1" indent="1"/>
      <protection/>
    </xf>
    <xf numFmtId="0" fontId="23" fillId="0" borderId="14" xfId="96" applyFont="1" applyFill="1" applyBorder="1" applyAlignment="1">
      <alignment horizontal="left" vertical="center" wrapText="1" indent="2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vertical="center" wrapText="1"/>
      <protection/>
    </xf>
    <xf numFmtId="0" fontId="23" fillId="0" borderId="14" xfId="96" applyFont="1" applyFill="1" applyBorder="1" applyAlignment="1">
      <alignment horizontal="left" vertical="center" wrapText="1" indent="1"/>
      <protection/>
    </xf>
    <xf numFmtId="0" fontId="23" fillId="0" borderId="12" xfId="96" applyFont="1" applyFill="1" applyBorder="1" applyAlignment="1">
      <alignment horizontal="center" vertical="center"/>
      <protection/>
    </xf>
    <xf numFmtId="0" fontId="22" fillId="0" borderId="12" xfId="96" applyFont="1" applyFill="1" applyBorder="1" applyAlignment="1">
      <alignment horizontal="left" vertical="center" wrapText="1"/>
      <protection/>
    </xf>
    <xf numFmtId="0" fontId="25" fillId="0" borderId="11" xfId="96" applyFont="1" applyFill="1" applyBorder="1" applyAlignment="1">
      <alignment vertical="center" wrapText="1"/>
      <protection/>
    </xf>
    <xf numFmtId="0" fontId="25" fillId="0" borderId="11" xfId="96" applyFont="1" applyFill="1" applyBorder="1" applyAlignment="1">
      <alignment horizontal="center" vertical="center"/>
      <protection/>
    </xf>
    <xf numFmtId="0" fontId="24" fillId="0" borderId="12" xfId="96" applyFont="1" applyFill="1" applyBorder="1" applyAlignment="1">
      <alignment horizontal="center" vertical="center"/>
      <protection/>
    </xf>
    <xf numFmtId="0" fontId="23" fillId="0" borderId="12" xfId="96" applyFont="1" applyFill="1" applyBorder="1" applyAlignment="1">
      <alignment vertical="center" wrapText="1"/>
      <protection/>
    </xf>
    <xf numFmtId="10" fontId="23" fillId="0" borderId="12" xfId="96" applyNumberFormat="1" applyFont="1" applyFill="1" applyBorder="1" applyAlignment="1" applyProtection="1">
      <alignment vertical="center"/>
      <protection locked="0"/>
    </xf>
    <xf numFmtId="0" fontId="24" fillId="0" borderId="13" xfId="96" applyFont="1" applyFill="1" applyBorder="1" applyAlignment="1">
      <alignment horizontal="center" vertical="center"/>
      <protection/>
    </xf>
    <xf numFmtId="0" fontId="23" fillId="0" borderId="13" xfId="96" applyFont="1" applyFill="1" applyBorder="1" applyAlignment="1">
      <alignment vertical="center" wrapText="1"/>
      <protection/>
    </xf>
    <xf numFmtId="10" fontId="23" fillId="0" borderId="13" xfId="96" applyNumberFormat="1" applyFont="1" applyFill="1" applyBorder="1" applyAlignment="1" applyProtection="1">
      <alignment vertical="center"/>
      <protection locked="0"/>
    </xf>
    <xf numFmtId="0" fontId="24" fillId="0" borderId="13" xfId="96" applyFont="1" applyFill="1" applyBorder="1" applyAlignment="1">
      <alignment vertical="center" wrapText="1"/>
      <protection/>
    </xf>
    <xf numFmtId="0" fontId="24" fillId="0" borderId="14" xfId="96" applyFont="1" applyFill="1" applyBorder="1" applyAlignment="1">
      <alignment horizontal="center" vertical="center"/>
      <protection/>
    </xf>
    <xf numFmtId="0" fontId="24" fillId="0" borderId="14" xfId="96" applyFont="1" applyFill="1" applyBorder="1" applyAlignment="1">
      <alignment horizontal="left" vertical="center" wrapText="1"/>
      <protection/>
    </xf>
    <xf numFmtId="10" fontId="23" fillId="0" borderId="14" xfId="96" applyNumberFormat="1" applyFont="1" applyFill="1" applyBorder="1" applyAlignment="1" applyProtection="1">
      <alignment vertical="center"/>
      <protection locked="0"/>
    </xf>
    <xf numFmtId="0" fontId="25" fillId="0" borderId="13" xfId="96" applyFont="1" applyFill="1" applyBorder="1" applyAlignment="1">
      <alignment horizontal="center" vertical="center"/>
      <protection/>
    </xf>
    <xf numFmtId="0" fontId="22" fillId="0" borderId="13" xfId="96" applyFont="1" applyFill="1" applyBorder="1" applyAlignment="1">
      <alignment vertical="center" wrapText="1"/>
      <protection/>
    </xf>
    <xf numFmtId="166" fontId="23" fillId="0" borderId="13" xfId="96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top" wrapText="1"/>
    </xf>
    <xf numFmtId="166" fontId="23" fillId="0" borderId="14" xfId="96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top" wrapText="1" indent="1"/>
    </xf>
    <xf numFmtId="0" fontId="27" fillId="0" borderId="13" xfId="0" applyFont="1" applyBorder="1" applyAlignment="1">
      <alignment horizontal="left" vertical="top" wrapText="1" indent="1"/>
    </xf>
    <xf numFmtId="0" fontId="27" fillId="0" borderId="14" xfId="0" applyFont="1" applyBorder="1" applyAlignment="1">
      <alignment horizontal="left" vertical="top" wrapText="1" indent="2"/>
    </xf>
    <xf numFmtId="0" fontId="27" fillId="0" borderId="14" xfId="0" applyFont="1" applyBorder="1" applyAlignment="1">
      <alignment horizontal="left" vertical="top" wrapText="1" inden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3" fillId="0" borderId="0" xfId="97" applyFont="1" applyBorder="1" applyAlignment="1">
      <alignment vertical="center"/>
      <protection/>
    </xf>
    <xf numFmtId="4" fontId="20" fillId="0" borderId="0" xfId="0" applyNumberFormat="1" applyFont="1" applyAlignment="1">
      <alignment vertical="center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F%20XXXV-447%20Za&#32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k243"/>
      <sheetName val="rysunki"/>
      <sheetName val="Zal_1_WPF_uklad_budzetu_ryzyko"/>
      <sheetName val="definicja"/>
      <sheetName val="Zal_1_WPF_wg_przeplywow"/>
      <sheetName val="DaneZrodlowe"/>
    </sheetNames>
    <sheetDataSet>
      <sheetData sheetId="5">
        <row r="4">
          <cell r="C4" t="str">
            <v>BARLINEK</v>
          </cell>
          <cell r="D4">
            <v>3210013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3:M79"/>
  <sheetViews>
    <sheetView showZeros="0" tabSelected="1" zoomScaleSheetLayoutView="100" workbookViewId="0" topLeftCell="A1">
      <pane xSplit="2" ySplit="8" topLeftCell="L60" activePane="bottomRight" state="frozen"/>
      <selection pane="topLeft" activeCell="A7" sqref="A7"/>
      <selection pane="topRight" activeCell="A7" sqref="A7"/>
      <selection pane="bottomLeft" activeCell="A7" sqref="A7"/>
      <selection pane="bottomRight" activeCell="N6" sqref="N6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13" width="13.3984375" style="1" customWidth="1"/>
  </cols>
  <sheetData>
    <row r="3" spans="3:9" ht="14.25">
      <c r="C3" s="2" t="s">
        <v>0</v>
      </c>
      <c r="D3" s="3" t="s">
        <v>1</v>
      </c>
      <c r="G3" s="4"/>
      <c r="H3" s="4"/>
      <c r="I3" s="4"/>
    </row>
    <row r="4" spans="1:9" ht="14.25">
      <c r="A4" s="3"/>
      <c r="C4" s="5" t="s">
        <v>2</v>
      </c>
      <c r="D4" s="6" t="str">
        <f>+"("&amp;'[1]DaneZrodlowe'!D4&amp;") - "&amp;'[1]DaneZrodlowe'!C4</f>
        <v>(3210013) - BARLINEK</v>
      </c>
      <c r="F4" s="7"/>
      <c r="G4" s="7"/>
      <c r="H4" s="7"/>
      <c r="I4" s="7"/>
    </row>
    <row r="5" spans="1:4" ht="14.25">
      <c r="A5" s="8"/>
      <c r="C5" s="9" t="s">
        <v>3</v>
      </c>
      <c r="D5" s="10" t="s">
        <v>4</v>
      </c>
    </row>
    <row r="6" ht="14.25">
      <c r="A6" s="8"/>
    </row>
    <row r="7" spans="1:13" ht="14.25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4.25">
      <c r="A8" s="13" t="s">
        <v>5</v>
      </c>
      <c r="B8" s="14" t="s">
        <v>6</v>
      </c>
      <c r="C8" s="15" t="s">
        <v>7</v>
      </c>
      <c r="D8" s="15">
        <f aca="true" t="shared" si="0" ref="D8:M8">+C8+1</f>
        <v>2014</v>
      </c>
      <c r="E8" s="15">
        <f t="shared" si="0"/>
        <v>2015</v>
      </c>
      <c r="F8" s="15">
        <f t="shared" si="0"/>
        <v>2016</v>
      </c>
      <c r="G8" s="15">
        <f t="shared" si="0"/>
        <v>2017</v>
      </c>
      <c r="H8" s="15">
        <f t="shared" si="0"/>
        <v>2018</v>
      </c>
      <c r="I8" s="15">
        <f t="shared" si="0"/>
        <v>2019</v>
      </c>
      <c r="J8" s="15">
        <f t="shared" si="0"/>
        <v>2020</v>
      </c>
      <c r="K8" s="15">
        <f t="shared" si="0"/>
        <v>2021</v>
      </c>
      <c r="L8" s="15">
        <f t="shared" si="0"/>
        <v>2022</v>
      </c>
      <c r="M8" s="15">
        <f t="shared" si="0"/>
        <v>2023</v>
      </c>
    </row>
    <row r="9" spans="1:13" ht="14.25">
      <c r="A9" s="16"/>
      <c r="B9" s="17" t="s">
        <v>8</v>
      </c>
      <c r="C9" s="18">
        <f>56695019</f>
        <v>56695019</v>
      </c>
      <c r="D9" s="18">
        <f>57755612</f>
        <v>57755612</v>
      </c>
      <c r="E9" s="18">
        <f>58718541</f>
        <v>58718541</v>
      </c>
      <c r="F9" s="18">
        <f>56434538</f>
        <v>56434538</v>
      </c>
      <c r="G9" s="18">
        <f>56985856</f>
        <v>56985856</v>
      </c>
      <c r="H9" s="18">
        <f>58495194</f>
        <v>58495194</v>
      </c>
      <c r="I9" s="18">
        <f>59829767</f>
        <v>59829767</v>
      </c>
      <c r="J9" s="18">
        <f>57527214</f>
        <v>57527214</v>
      </c>
      <c r="K9" s="18">
        <f>57420123</f>
        <v>57420123</v>
      </c>
      <c r="L9" s="18">
        <f>57411424</f>
        <v>57411424</v>
      </c>
      <c r="M9" s="18">
        <f>58302596</f>
        <v>58302596</v>
      </c>
    </row>
    <row r="10" spans="1:13" ht="14.25">
      <c r="A10" s="19"/>
      <c r="B10" s="20" t="s">
        <v>9</v>
      </c>
      <c r="C10" s="21">
        <f>53703846</f>
        <v>53703846</v>
      </c>
      <c r="D10" s="21">
        <f>55016290</f>
        <v>55016290</v>
      </c>
      <c r="E10" s="21">
        <f>56359151</f>
        <v>56359151</v>
      </c>
      <c r="F10" s="21">
        <f>55204538</f>
        <v>55204538</v>
      </c>
      <c r="G10" s="21">
        <f>55812606</f>
        <v>55812606</v>
      </c>
      <c r="H10" s="21">
        <f>57304345</f>
        <v>57304345</v>
      </c>
      <c r="I10" s="21">
        <f>58529767</f>
        <v>58529767</v>
      </c>
      <c r="J10" s="21">
        <f>56207714</f>
        <v>56207714</v>
      </c>
      <c r="K10" s="21">
        <f>56080830</f>
        <v>56080830</v>
      </c>
      <c r="L10" s="21">
        <f>56052042</f>
        <v>56052042</v>
      </c>
      <c r="M10" s="21">
        <f>56922823</f>
        <v>56922823</v>
      </c>
    </row>
    <row r="11" spans="1:13" ht="24">
      <c r="A11" s="19"/>
      <c r="B11" s="22" t="s">
        <v>10</v>
      </c>
      <c r="C11" s="21">
        <f>1820209</f>
        <v>1820209</v>
      </c>
      <c r="D11" s="21">
        <f>311433</f>
        <v>311433</v>
      </c>
      <c r="E11" s="21">
        <f>328239</f>
        <v>328239</v>
      </c>
      <c r="F11" s="21">
        <f>0</f>
        <v>0</v>
      </c>
      <c r="G11" s="21">
        <f>0</f>
        <v>0</v>
      </c>
      <c r="H11" s="21">
        <f>0</f>
        <v>0</v>
      </c>
      <c r="I11" s="21">
        <f>0</f>
        <v>0</v>
      </c>
      <c r="J11" s="21">
        <f>0</f>
        <v>0</v>
      </c>
      <c r="K11" s="21">
        <f>0</f>
        <v>0</v>
      </c>
      <c r="L11" s="21">
        <f>0</f>
        <v>0</v>
      </c>
      <c r="M11" s="21">
        <f>0</f>
        <v>0</v>
      </c>
    </row>
    <row r="12" spans="1:13" ht="14.25">
      <c r="A12" s="19"/>
      <c r="B12" s="23" t="s">
        <v>11</v>
      </c>
      <c r="C12" s="21">
        <f>1820209</f>
        <v>1820209</v>
      </c>
      <c r="D12" s="21">
        <f>228239</f>
        <v>228239</v>
      </c>
      <c r="E12" s="21">
        <f>0</f>
        <v>0</v>
      </c>
      <c r="F12" s="21">
        <f>0</f>
        <v>0</v>
      </c>
      <c r="G12" s="21">
        <f>0</f>
        <v>0</v>
      </c>
      <c r="H12" s="21">
        <f>0</f>
        <v>0</v>
      </c>
      <c r="I12" s="21">
        <f>0</f>
        <v>0</v>
      </c>
      <c r="J12" s="21">
        <f>0</f>
        <v>0</v>
      </c>
      <c r="K12" s="21">
        <f>0</f>
        <v>0</v>
      </c>
      <c r="L12" s="21">
        <f>0</f>
        <v>0</v>
      </c>
      <c r="M12" s="21">
        <f>0</f>
        <v>0</v>
      </c>
    </row>
    <row r="13" spans="1:13" ht="14.25">
      <c r="A13" s="19"/>
      <c r="B13" s="24" t="s">
        <v>12</v>
      </c>
      <c r="C13" s="21">
        <f>2991173</f>
        <v>2991173</v>
      </c>
      <c r="D13" s="21">
        <f>2739322</f>
        <v>2739322</v>
      </c>
      <c r="E13" s="21">
        <f>2359390</f>
        <v>2359390</v>
      </c>
      <c r="F13" s="21">
        <f>1230000</f>
        <v>1230000</v>
      </c>
      <c r="G13" s="21">
        <f>1173250</f>
        <v>1173250</v>
      </c>
      <c r="H13" s="21">
        <f>1190849</f>
        <v>1190849</v>
      </c>
      <c r="I13" s="21">
        <f>1300000</f>
        <v>1300000</v>
      </c>
      <c r="J13" s="21">
        <f>1319500</f>
        <v>1319500</v>
      </c>
      <c r="K13" s="21">
        <f>1339293</f>
        <v>1339293</v>
      </c>
      <c r="L13" s="21">
        <f>1359382</f>
        <v>1359382</v>
      </c>
      <c r="M13" s="21">
        <f>1379773</f>
        <v>1379773</v>
      </c>
    </row>
    <row r="14" spans="1:13" ht="14.25">
      <c r="A14" s="19"/>
      <c r="B14" s="22" t="s">
        <v>13</v>
      </c>
      <c r="C14" s="21">
        <f>1100000</f>
        <v>1100000</v>
      </c>
      <c r="D14" s="21">
        <f>1377000</f>
        <v>1377000</v>
      </c>
      <c r="E14" s="21">
        <f>1500000</f>
        <v>1500000</v>
      </c>
      <c r="F14" s="21">
        <f>1230000</f>
        <v>1230000</v>
      </c>
      <c r="G14" s="21">
        <f>1173250</f>
        <v>1173250</v>
      </c>
      <c r="H14" s="21">
        <f>1190849</f>
        <v>1190849</v>
      </c>
      <c r="I14" s="21">
        <f>1300000</f>
        <v>1300000</v>
      </c>
      <c r="J14" s="21">
        <f>1319500</f>
        <v>1319500</v>
      </c>
      <c r="K14" s="21">
        <f>1339293</f>
        <v>1339293</v>
      </c>
      <c r="L14" s="21">
        <f>1359382</f>
        <v>1359382</v>
      </c>
      <c r="M14" s="21">
        <f>1379773</f>
        <v>1379773</v>
      </c>
    </row>
    <row r="15" spans="1:13" ht="24">
      <c r="A15" s="19"/>
      <c r="B15" s="22" t="s">
        <v>14</v>
      </c>
      <c r="C15" s="21">
        <f>778863</f>
        <v>778863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</row>
    <row r="16" spans="1:13" ht="14.25">
      <c r="A16" s="25"/>
      <c r="B16" s="26" t="s">
        <v>15</v>
      </c>
      <c r="C16" s="27">
        <f>0</f>
        <v>0</v>
      </c>
      <c r="D16" s="27">
        <f>0</f>
        <v>0</v>
      </c>
      <c r="E16" s="27">
        <f>0</f>
        <v>0</v>
      </c>
      <c r="F16" s="27">
        <f>0</f>
        <v>0</v>
      </c>
      <c r="G16" s="27">
        <f>0</f>
        <v>0</v>
      </c>
      <c r="H16" s="27">
        <f>0</f>
        <v>0</v>
      </c>
      <c r="I16" s="27">
        <f>0</f>
        <v>0</v>
      </c>
      <c r="J16" s="27">
        <f>0</f>
        <v>0</v>
      </c>
      <c r="K16" s="27">
        <f>0</f>
        <v>0</v>
      </c>
      <c r="L16" s="27">
        <f>0</f>
        <v>0</v>
      </c>
      <c r="M16" s="27">
        <f>0</f>
        <v>0</v>
      </c>
    </row>
    <row r="17" spans="1:13" ht="24">
      <c r="A17" s="16"/>
      <c r="B17" s="17" t="s">
        <v>16</v>
      </c>
      <c r="C17" s="18">
        <f>51158914</f>
        <v>51158914</v>
      </c>
      <c r="D17" s="18">
        <f>47491614</f>
        <v>47491614</v>
      </c>
      <c r="E17" s="18">
        <f>46571382</f>
        <v>46571382</v>
      </c>
      <c r="F17" s="18">
        <f>48185208</f>
        <v>48185208</v>
      </c>
      <c r="G17" s="18">
        <f>49723509</f>
        <v>49723509</v>
      </c>
      <c r="H17" s="18">
        <f>49533416</f>
        <v>49533416</v>
      </c>
      <c r="I17" s="18">
        <f>48505847</f>
        <v>48505847</v>
      </c>
      <c r="J17" s="18">
        <f>49158901</f>
        <v>49158901</v>
      </c>
      <c r="K17" s="18">
        <f>49932587</f>
        <v>49932587</v>
      </c>
      <c r="L17" s="18">
        <f>50680152</f>
        <v>50680152</v>
      </c>
      <c r="M17" s="18">
        <f>51391263</f>
        <v>51391263</v>
      </c>
    </row>
    <row r="18" spans="1:13" ht="14.25">
      <c r="A18" s="19"/>
      <c r="B18" s="20" t="s">
        <v>17</v>
      </c>
      <c r="C18" s="21">
        <f>17955638</f>
        <v>17955638</v>
      </c>
      <c r="D18" s="21">
        <f>18135215</f>
        <v>18135215</v>
      </c>
      <c r="E18" s="21">
        <f>18316567</f>
        <v>18316567</v>
      </c>
      <c r="F18" s="21">
        <f>18499732</f>
        <v>18499732</v>
      </c>
      <c r="G18" s="21">
        <f>18684730</f>
        <v>18684730</v>
      </c>
      <c r="H18" s="21">
        <f>18871577</f>
        <v>18871577</v>
      </c>
      <c r="I18" s="21">
        <f>19060293</f>
        <v>19060293</v>
      </c>
      <c r="J18" s="21">
        <f>19250896</f>
        <v>19250896</v>
      </c>
      <c r="K18" s="21">
        <f>19443405</f>
        <v>19443405</v>
      </c>
      <c r="L18" s="21">
        <f>19637839</f>
        <v>19637839</v>
      </c>
      <c r="M18" s="21">
        <f>19834217</f>
        <v>19834217</v>
      </c>
    </row>
    <row r="19" spans="1:13" ht="14.25">
      <c r="A19" s="19"/>
      <c r="B19" s="20" t="s">
        <v>18</v>
      </c>
      <c r="C19" s="21">
        <f>4877705</f>
        <v>4877705</v>
      </c>
      <c r="D19" s="21">
        <f>4902094</f>
        <v>4902094</v>
      </c>
      <c r="E19" s="21">
        <f>4926604</f>
        <v>4926604</v>
      </c>
      <c r="F19" s="21">
        <f>4951237</f>
        <v>4951237</v>
      </c>
      <c r="G19" s="21">
        <f>4975994</f>
        <v>4975994</v>
      </c>
      <c r="H19" s="21">
        <f>5000874</f>
        <v>5000874</v>
      </c>
      <c r="I19" s="21">
        <f>5025878</f>
        <v>5025878</v>
      </c>
      <c r="J19" s="21">
        <f>5051007</f>
        <v>5051007</v>
      </c>
      <c r="K19" s="21">
        <f>5076262</f>
        <v>5076262</v>
      </c>
      <c r="L19" s="21">
        <f>5101644</f>
        <v>5101644</v>
      </c>
      <c r="M19" s="21">
        <f>5127152</f>
        <v>5127152</v>
      </c>
    </row>
    <row r="20" spans="1:13" ht="14.25">
      <c r="A20" s="19"/>
      <c r="B20" s="20" t="s">
        <v>19</v>
      </c>
      <c r="C20" s="21">
        <f>622472</f>
        <v>622472</v>
      </c>
      <c r="D20" s="21">
        <f>617913</f>
        <v>617913</v>
      </c>
      <c r="E20" s="21">
        <f>608617</f>
        <v>608617</v>
      </c>
      <c r="F20" s="21">
        <f>409490</f>
        <v>409490</v>
      </c>
      <c r="G20" s="21">
        <f>414428</f>
        <v>414428</v>
      </c>
      <c r="H20" s="21">
        <f>383574</f>
        <v>383574</v>
      </c>
      <c r="I20" s="21">
        <f>394865</f>
        <v>394865</v>
      </c>
      <c r="J20" s="21">
        <f>406632</f>
        <v>406632</v>
      </c>
      <c r="K20" s="21">
        <f>411404</f>
        <v>411404</v>
      </c>
      <c r="L20" s="21">
        <f>402607</f>
        <v>402607</v>
      </c>
      <c r="M20" s="21">
        <f>417320</f>
        <v>417320</v>
      </c>
    </row>
    <row r="21" spans="1:13" ht="24">
      <c r="A21" s="19"/>
      <c r="B21" s="28" t="s">
        <v>20</v>
      </c>
      <c r="C21" s="21">
        <f>0</f>
        <v>0</v>
      </c>
      <c r="D21" s="21">
        <f>0</f>
        <v>0</v>
      </c>
      <c r="E21" s="21">
        <f>0</f>
        <v>0</v>
      </c>
      <c r="F21" s="21">
        <f>0</f>
        <v>0</v>
      </c>
      <c r="G21" s="21">
        <f>0</f>
        <v>0</v>
      </c>
      <c r="H21" s="21">
        <f>0</f>
        <v>0</v>
      </c>
      <c r="I21" s="21">
        <f>0</f>
        <v>0</v>
      </c>
      <c r="J21" s="21">
        <f>0</f>
        <v>0</v>
      </c>
      <c r="K21" s="21">
        <f>0</f>
        <v>0</v>
      </c>
      <c r="L21" s="21">
        <f>0</f>
        <v>0</v>
      </c>
      <c r="M21" s="21">
        <f>0</f>
        <v>0</v>
      </c>
    </row>
    <row r="22" spans="1:13" ht="24">
      <c r="A22" s="19"/>
      <c r="B22" s="29" t="s">
        <v>21</v>
      </c>
      <c r="C22" s="21">
        <f>0</f>
        <v>0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0</f>
        <v>0</v>
      </c>
      <c r="M22" s="21">
        <f>0</f>
        <v>0</v>
      </c>
    </row>
    <row r="23" spans="1:13" ht="14.25">
      <c r="A23" s="19"/>
      <c r="B23" s="20" t="s">
        <v>22</v>
      </c>
      <c r="C23" s="21">
        <f>2442924</f>
        <v>2442924</v>
      </c>
      <c r="D23" s="21">
        <f>311433</f>
        <v>311433</v>
      </c>
      <c r="E23" s="21">
        <f>228239</f>
        <v>228239</v>
      </c>
      <c r="F23" s="21">
        <f>2000</f>
        <v>2000</v>
      </c>
      <c r="G23" s="21">
        <f>2000</f>
        <v>2000</v>
      </c>
      <c r="H23" s="21">
        <f>0</f>
        <v>0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</row>
    <row r="24" spans="1:13" ht="24">
      <c r="A24" s="19"/>
      <c r="B24" s="20" t="s">
        <v>23</v>
      </c>
      <c r="C24" s="21">
        <f>1893267</f>
        <v>1893267</v>
      </c>
      <c r="D24" s="21">
        <f>810000</f>
        <v>810000</v>
      </c>
      <c r="E24" s="21">
        <f>3200000</f>
        <v>3200000</v>
      </c>
      <c r="F24" s="21">
        <f>0</f>
        <v>0</v>
      </c>
      <c r="G24" s="21">
        <f>0</f>
        <v>0</v>
      </c>
      <c r="H24" s="21">
        <f>0</f>
        <v>0</v>
      </c>
      <c r="I24" s="21">
        <f>0</f>
        <v>0</v>
      </c>
      <c r="J24" s="21">
        <f>0</f>
        <v>0</v>
      </c>
      <c r="K24" s="21">
        <f>0</f>
        <v>0</v>
      </c>
      <c r="L24" s="21">
        <f>0</f>
        <v>0</v>
      </c>
      <c r="M24" s="21">
        <f>0</f>
        <v>0</v>
      </c>
    </row>
    <row r="25" spans="1:13" ht="14.25">
      <c r="A25" s="25"/>
      <c r="B25" s="30" t="s">
        <v>24</v>
      </c>
      <c r="C25" s="27">
        <f>0</f>
        <v>0</v>
      </c>
      <c r="D25" s="27">
        <f>0</f>
        <v>0</v>
      </c>
      <c r="E25" s="27">
        <f>0</f>
        <v>0</v>
      </c>
      <c r="F25" s="27">
        <f>0</f>
        <v>0</v>
      </c>
      <c r="G25" s="27">
        <f>0</f>
        <v>0</v>
      </c>
      <c r="H25" s="27">
        <f>0</f>
        <v>0</v>
      </c>
      <c r="I25" s="27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</row>
    <row r="26" spans="1:13" ht="14.25">
      <c r="A26" s="31"/>
      <c r="B26" s="32" t="s">
        <v>25</v>
      </c>
      <c r="C26" s="18">
        <f>5536105</f>
        <v>5536105</v>
      </c>
      <c r="D26" s="18">
        <f>10263998</f>
        <v>10263998</v>
      </c>
      <c r="E26" s="18">
        <f>12147159</f>
        <v>12147159</v>
      </c>
      <c r="F26" s="18">
        <f>8249330</f>
        <v>8249330</v>
      </c>
      <c r="G26" s="18">
        <f>7262347</f>
        <v>7262347</v>
      </c>
      <c r="H26" s="18">
        <f>8961778</f>
        <v>8961778</v>
      </c>
      <c r="I26" s="18">
        <f>11323920</f>
        <v>11323920</v>
      </c>
      <c r="J26" s="18">
        <f>8368313</f>
        <v>8368313</v>
      </c>
      <c r="K26" s="18">
        <f>7487536</f>
        <v>7487536</v>
      </c>
      <c r="L26" s="18">
        <f>6731272</f>
        <v>6731272</v>
      </c>
      <c r="M26" s="18">
        <f>6911333</f>
        <v>6911333</v>
      </c>
    </row>
    <row r="27" spans="1:13" ht="24">
      <c r="A27" s="16"/>
      <c r="B27" s="17" t="s">
        <v>26</v>
      </c>
      <c r="C27" s="18">
        <f>0</f>
        <v>0</v>
      </c>
      <c r="D27" s="18">
        <f>0</f>
        <v>0</v>
      </c>
      <c r="E27" s="18">
        <f>0</f>
        <v>0</v>
      </c>
      <c r="F27" s="18">
        <f>5943260</f>
        <v>5943260</v>
      </c>
      <c r="G27" s="18">
        <f>3308751</f>
        <v>3308751</v>
      </c>
      <c r="H27" s="18">
        <f>2401118</f>
        <v>2401118</v>
      </c>
      <c r="I27" s="18">
        <f>242625</f>
        <v>242625</v>
      </c>
      <c r="J27" s="18">
        <f>0</f>
        <v>0</v>
      </c>
      <c r="K27" s="18">
        <f>1425493</f>
        <v>1425493</v>
      </c>
      <c r="L27" s="18">
        <f>1769605</f>
        <v>1769605</v>
      </c>
      <c r="M27" s="18">
        <f>3761523</f>
        <v>3761523</v>
      </c>
    </row>
    <row r="28" spans="1:13" ht="14.25">
      <c r="A28" s="25"/>
      <c r="B28" s="33" t="s">
        <v>27</v>
      </c>
      <c r="C28" s="27">
        <f>0</f>
        <v>0</v>
      </c>
      <c r="D28" s="27">
        <f>0</f>
        <v>0</v>
      </c>
      <c r="E28" s="27">
        <f>0</f>
        <v>0</v>
      </c>
      <c r="F28" s="27">
        <f>0</f>
        <v>0</v>
      </c>
      <c r="G28" s="27">
        <f>0</f>
        <v>0</v>
      </c>
      <c r="H28" s="27">
        <f>0</f>
        <v>0</v>
      </c>
      <c r="I28" s="27">
        <f>0</f>
        <v>0</v>
      </c>
      <c r="J28" s="27">
        <f>0</f>
        <v>0</v>
      </c>
      <c r="K28" s="27">
        <f>0</f>
        <v>0</v>
      </c>
      <c r="L28" s="27">
        <f>0</f>
        <v>0</v>
      </c>
      <c r="M28" s="27">
        <f>0</f>
        <v>0</v>
      </c>
    </row>
    <row r="29" spans="1:13" ht="24">
      <c r="A29" s="34"/>
      <c r="B29" s="35" t="s">
        <v>28</v>
      </c>
      <c r="C29" s="18">
        <f>0</f>
        <v>0</v>
      </c>
      <c r="D29" s="18">
        <f>0</f>
        <v>0</v>
      </c>
      <c r="E29" s="18">
        <f>0</f>
        <v>0</v>
      </c>
      <c r="F29" s="18">
        <f>0</f>
        <v>0</v>
      </c>
      <c r="G29" s="18">
        <f>0</f>
        <v>0</v>
      </c>
      <c r="H29" s="18">
        <f>0</f>
        <v>0</v>
      </c>
      <c r="I29" s="18">
        <f>0</f>
        <v>0</v>
      </c>
      <c r="J29" s="18">
        <f>0</f>
        <v>0</v>
      </c>
      <c r="K29" s="18">
        <f>0</f>
        <v>0</v>
      </c>
      <c r="L29" s="18">
        <f>0</f>
        <v>0</v>
      </c>
      <c r="M29" s="18">
        <f>0</f>
        <v>0</v>
      </c>
    </row>
    <row r="30" spans="1:13" ht="14.25">
      <c r="A30" s="25"/>
      <c r="B30" s="33" t="s">
        <v>27</v>
      </c>
      <c r="C30" s="27">
        <f>0</f>
        <v>0</v>
      </c>
      <c r="D30" s="27">
        <f>0</f>
        <v>0</v>
      </c>
      <c r="E30" s="27">
        <f>0</f>
        <v>0</v>
      </c>
      <c r="F30" s="27">
        <f>0</f>
        <v>0</v>
      </c>
      <c r="G30" s="27">
        <f>0</f>
        <v>0</v>
      </c>
      <c r="H30" s="27">
        <f>0</f>
        <v>0</v>
      </c>
      <c r="I30" s="27">
        <f>0</f>
        <v>0</v>
      </c>
      <c r="J30" s="27">
        <f>0</f>
        <v>0</v>
      </c>
      <c r="K30" s="27">
        <f>0</f>
        <v>0</v>
      </c>
      <c r="L30" s="27">
        <f>0</f>
        <v>0</v>
      </c>
      <c r="M30" s="27">
        <f>0</f>
        <v>0</v>
      </c>
    </row>
    <row r="31" spans="1:13" ht="14.25">
      <c r="A31" s="16"/>
      <c r="B31" s="17" t="s">
        <v>29</v>
      </c>
      <c r="C31" s="18">
        <f>0</f>
        <v>0</v>
      </c>
      <c r="D31" s="18">
        <f>0</f>
        <v>0</v>
      </c>
      <c r="E31" s="18">
        <f>0</f>
        <v>0</v>
      </c>
      <c r="F31" s="18">
        <f>0</f>
        <v>0</v>
      </c>
      <c r="G31" s="18">
        <f>0</f>
        <v>0</v>
      </c>
      <c r="H31" s="18">
        <f>0</f>
        <v>0</v>
      </c>
      <c r="I31" s="18">
        <f>0</f>
        <v>0</v>
      </c>
      <c r="J31" s="18">
        <f>0</f>
        <v>0</v>
      </c>
      <c r="K31" s="18">
        <f>0</f>
        <v>0</v>
      </c>
      <c r="L31" s="18">
        <f>0</f>
        <v>0</v>
      </c>
      <c r="M31" s="18">
        <f>0</f>
        <v>0</v>
      </c>
    </row>
    <row r="32" spans="1:13" ht="14.25">
      <c r="A32" s="25"/>
      <c r="B32" s="33" t="s">
        <v>27</v>
      </c>
      <c r="C32" s="27">
        <f>0</f>
        <v>0</v>
      </c>
      <c r="D32" s="27">
        <f>0</f>
        <v>0</v>
      </c>
      <c r="E32" s="27">
        <f>0</f>
        <v>0</v>
      </c>
      <c r="F32" s="27">
        <f>0</f>
        <v>0</v>
      </c>
      <c r="G32" s="27">
        <f>0</f>
        <v>0</v>
      </c>
      <c r="H32" s="27">
        <f>0</f>
        <v>0</v>
      </c>
      <c r="I32" s="27">
        <f>0</f>
        <v>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</row>
    <row r="33" spans="1:13" ht="14.25">
      <c r="A33" s="31"/>
      <c r="B33" s="32" t="s">
        <v>30</v>
      </c>
      <c r="C33" s="18">
        <f>5536105</f>
        <v>5536105</v>
      </c>
      <c r="D33" s="18">
        <f>10263998</f>
        <v>10263998</v>
      </c>
      <c r="E33" s="18">
        <f>12147159</f>
        <v>12147159</v>
      </c>
      <c r="F33" s="18">
        <f>14192590</f>
        <v>14192590</v>
      </c>
      <c r="G33" s="18">
        <f>10571098</f>
        <v>10571098</v>
      </c>
      <c r="H33" s="18">
        <f>11362896</f>
        <v>11362896</v>
      </c>
      <c r="I33" s="18">
        <f>11566545</f>
        <v>11566545</v>
      </c>
      <c r="J33" s="18">
        <f>8368313</f>
        <v>8368313</v>
      </c>
      <c r="K33" s="18">
        <f>8913029</f>
        <v>8913029</v>
      </c>
      <c r="L33" s="18">
        <f>8500877</f>
        <v>8500877</v>
      </c>
      <c r="M33" s="18">
        <f>10672856</f>
        <v>10672856</v>
      </c>
    </row>
    <row r="34" spans="1:13" ht="14.25">
      <c r="A34" s="16"/>
      <c r="B34" s="17" t="s">
        <v>31</v>
      </c>
      <c r="C34" s="18">
        <f>5490290</f>
        <v>5490290</v>
      </c>
      <c r="D34" s="18">
        <f>3885290</f>
        <v>3885290</v>
      </c>
      <c r="E34" s="18">
        <f>4120475</f>
        <v>4120475</v>
      </c>
      <c r="F34" s="18">
        <f>5483839</f>
        <v>5483839</v>
      </c>
      <c r="G34" s="18">
        <f>5409980</f>
        <v>5409980</v>
      </c>
      <c r="H34" s="18">
        <f>5320271</f>
        <v>5320271</v>
      </c>
      <c r="I34" s="18">
        <f>5066545</f>
        <v>5066545</v>
      </c>
      <c r="J34" s="18">
        <f>4942820</f>
        <v>4942820</v>
      </c>
      <c r="K34" s="18">
        <f>4643424</f>
        <v>4643424</v>
      </c>
      <c r="L34" s="18">
        <f>2239354</f>
        <v>2239354</v>
      </c>
      <c r="M34" s="18">
        <f>0</f>
        <v>0</v>
      </c>
    </row>
    <row r="35" spans="1:13" ht="24">
      <c r="A35" s="19"/>
      <c r="B35" s="29" t="s">
        <v>32</v>
      </c>
      <c r="C35" s="21">
        <f>3700000</f>
        <v>3700000</v>
      </c>
      <c r="D35" s="21">
        <f>2200000</f>
        <v>2200000</v>
      </c>
      <c r="E35" s="21">
        <f>2550000</f>
        <v>2550000</v>
      </c>
      <c r="F35" s="21">
        <f aca="true" t="shared" si="1" ref="F35:K35">3947224</f>
        <v>3947224</v>
      </c>
      <c r="G35" s="21">
        <f t="shared" si="1"/>
        <v>3947224</v>
      </c>
      <c r="H35" s="21">
        <f t="shared" si="1"/>
        <v>3947224</v>
      </c>
      <c r="I35" s="21">
        <f t="shared" si="1"/>
        <v>3947224</v>
      </c>
      <c r="J35" s="21">
        <f t="shared" si="1"/>
        <v>3947224</v>
      </c>
      <c r="K35" s="21">
        <f t="shared" si="1"/>
        <v>3947224</v>
      </c>
      <c r="L35" s="21">
        <f>1848822</f>
        <v>1848822</v>
      </c>
      <c r="M35" s="21">
        <f>0</f>
        <v>0</v>
      </c>
    </row>
    <row r="36" spans="1:13" ht="24">
      <c r="A36" s="19"/>
      <c r="B36" s="22" t="s">
        <v>33</v>
      </c>
      <c r="C36" s="21">
        <f>0</f>
        <v>0</v>
      </c>
      <c r="D36" s="21">
        <f>0</f>
        <v>0</v>
      </c>
      <c r="E36" s="21">
        <f>0</f>
        <v>0</v>
      </c>
      <c r="F36" s="21">
        <f>0</f>
        <v>0</v>
      </c>
      <c r="G36" s="21">
        <f>0</f>
        <v>0</v>
      </c>
      <c r="H36" s="21">
        <f>0</f>
        <v>0</v>
      </c>
      <c r="I36" s="21">
        <f>0</f>
        <v>0</v>
      </c>
      <c r="J36" s="21">
        <f>0</f>
        <v>0</v>
      </c>
      <c r="K36" s="21">
        <f>0</f>
        <v>0</v>
      </c>
      <c r="L36" s="21">
        <f>0</f>
        <v>0</v>
      </c>
      <c r="M36" s="21">
        <f>0</f>
        <v>0</v>
      </c>
    </row>
    <row r="37" spans="1:13" ht="14.25">
      <c r="A37" s="19"/>
      <c r="B37" s="20" t="s">
        <v>34</v>
      </c>
      <c r="C37" s="21">
        <f>1790290</f>
        <v>1790290</v>
      </c>
      <c r="D37" s="21">
        <f>1685290</f>
        <v>1685290</v>
      </c>
      <c r="E37" s="21">
        <f>1570475</f>
        <v>1570475</v>
      </c>
      <c r="F37" s="21">
        <f>1536615</f>
        <v>1536615</v>
      </c>
      <c r="G37" s="21">
        <f>1462756</f>
        <v>1462756</v>
      </c>
      <c r="H37" s="21">
        <f>1373047</f>
        <v>1373047</v>
      </c>
      <c r="I37" s="21">
        <f>1119321</f>
        <v>1119321</v>
      </c>
      <c r="J37" s="21">
        <f>995596</f>
        <v>995596</v>
      </c>
      <c r="K37" s="21">
        <f>696200</f>
        <v>696200</v>
      </c>
      <c r="L37" s="21">
        <f>390532</f>
        <v>390532</v>
      </c>
      <c r="M37" s="21">
        <f>0</f>
        <v>0</v>
      </c>
    </row>
    <row r="38" spans="1:13" ht="14.25">
      <c r="A38" s="25"/>
      <c r="B38" s="30" t="s">
        <v>35</v>
      </c>
      <c r="C38" s="27">
        <f>1790290</f>
        <v>1790290</v>
      </c>
      <c r="D38" s="27">
        <f>1685290</f>
        <v>1685290</v>
      </c>
      <c r="E38" s="27">
        <f>1570475</f>
        <v>1570475</v>
      </c>
      <c r="F38" s="27">
        <f>1536615</f>
        <v>1536615</v>
      </c>
      <c r="G38" s="27">
        <f>1462756</f>
        <v>1462756</v>
      </c>
      <c r="H38" s="27">
        <f>1373047</f>
        <v>1373047</v>
      </c>
      <c r="I38" s="27">
        <f>1119321</f>
        <v>1119321</v>
      </c>
      <c r="J38" s="27">
        <f>995596</f>
        <v>995596</v>
      </c>
      <c r="K38" s="27">
        <f>696200</f>
        <v>696200</v>
      </c>
      <c r="L38" s="27">
        <f>390532</f>
        <v>390532</v>
      </c>
      <c r="M38" s="27">
        <f>0</f>
        <v>0</v>
      </c>
    </row>
    <row r="39" spans="1:13" ht="14.25">
      <c r="A39" s="31"/>
      <c r="B39" s="36" t="s">
        <v>36</v>
      </c>
      <c r="C39" s="18">
        <f>0</f>
        <v>0</v>
      </c>
      <c r="D39" s="18">
        <f>0</f>
        <v>0</v>
      </c>
      <c r="E39" s="18">
        <f>0</f>
        <v>0</v>
      </c>
      <c r="F39" s="18">
        <f>0</f>
        <v>0</v>
      </c>
      <c r="G39" s="18">
        <f>0</f>
        <v>0</v>
      </c>
      <c r="H39" s="18">
        <f>0</f>
        <v>0</v>
      </c>
      <c r="I39" s="18">
        <f>0</f>
        <v>0</v>
      </c>
      <c r="J39" s="18">
        <f>0</f>
        <v>0</v>
      </c>
      <c r="K39" s="18">
        <f>0</f>
        <v>0</v>
      </c>
      <c r="L39" s="18">
        <f>0</f>
        <v>0</v>
      </c>
      <c r="M39" s="18">
        <f>0</f>
        <v>0</v>
      </c>
    </row>
    <row r="40" spans="1:13" ht="14.25">
      <c r="A40" s="31"/>
      <c r="B40" s="32" t="s">
        <v>37</v>
      </c>
      <c r="C40" s="18">
        <f>45815</f>
        <v>45815</v>
      </c>
      <c r="D40" s="18">
        <f>6378708</f>
        <v>6378708</v>
      </c>
      <c r="E40" s="18">
        <f>8026684</f>
        <v>8026684</v>
      </c>
      <c r="F40" s="18">
        <f>8708751</f>
        <v>8708751</v>
      </c>
      <c r="G40" s="18">
        <f>5161118</f>
        <v>5161118</v>
      </c>
      <c r="H40" s="18">
        <f>6042625</f>
        <v>6042625</v>
      </c>
      <c r="I40" s="18">
        <f>6500000</f>
        <v>6500000</v>
      </c>
      <c r="J40" s="18">
        <f>3425493</f>
        <v>3425493</v>
      </c>
      <c r="K40" s="18">
        <f>4269605</f>
        <v>4269605</v>
      </c>
      <c r="L40" s="18">
        <f>6261523</f>
        <v>6261523</v>
      </c>
      <c r="M40" s="18">
        <f>10672856</f>
        <v>10672856</v>
      </c>
    </row>
    <row r="41" spans="1:13" ht="14.25">
      <c r="A41" s="16"/>
      <c r="B41" s="17" t="s">
        <v>38</v>
      </c>
      <c r="C41" s="18">
        <f>7449950</f>
        <v>7449950</v>
      </c>
      <c r="D41" s="18">
        <f>7656002</f>
        <v>7656002</v>
      </c>
      <c r="E41" s="18">
        <f>2083424</f>
        <v>2083424</v>
      </c>
      <c r="F41" s="18">
        <f>5400000</f>
        <v>5400000</v>
      </c>
      <c r="G41" s="18">
        <f>2760000</f>
        <v>2760000</v>
      </c>
      <c r="H41" s="18">
        <f>5800000</f>
        <v>5800000</v>
      </c>
      <c r="I41" s="18">
        <f>6500000</f>
        <v>6500000</v>
      </c>
      <c r="J41" s="18">
        <f>2000000</f>
        <v>2000000</v>
      </c>
      <c r="K41" s="18">
        <f>2500000</f>
        <v>2500000</v>
      </c>
      <c r="L41" s="18">
        <f>2500000</f>
        <v>2500000</v>
      </c>
      <c r="M41" s="18">
        <f>0</f>
        <v>0</v>
      </c>
    </row>
    <row r="42" spans="1:13" ht="14.25">
      <c r="A42" s="19"/>
      <c r="B42" s="20" t="s">
        <v>39</v>
      </c>
      <c r="C42" s="21">
        <f>7278150</f>
        <v>7278150</v>
      </c>
      <c r="D42" s="21">
        <f>7656002</f>
        <v>7656002</v>
      </c>
      <c r="E42" s="21">
        <f>2083424</f>
        <v>2083424</v>
      </c>
      <c r="F42" s="21">
        <f>4200000</f>
        <v>4200000</v>
      </c>
      <c r="G42" s="21">
        <f>2160000</f>
        <v>2160000</v>
      </c>
      <c r="H42" s="21">
        <f>5800000</f>
        <v>5800000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</row>
    <row r="43" spans="1:13" ht="24">
      <c r="A43" s="19"/>
      <c r="B43" s="20" t="s">
        <v>40</v>
      </c>
      <c r="C43" s="21">
        <f>4450616</f>
        <v>4450616</v>
      </c>
      <c r="D43" s="21">
        <f>1724644</f>
        <v>1724644</v>
      </c>
      <c r="E43" s="21">
        <f>0</f>
        <v>0</v>
      </c>
      <c r="F43" s="21">
        <f>100000</f>
        <v>100000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</row>
    <row r="44" spans="1:13" ht="14.25">
      <c r="A44" s="25"/>
      <c r="B44" s="33" t="s">
        <v>41</v>
      </c>
      <c r="C44" s="27">
        <f>4450616</f>
        <v>4450616</v>
      </c>
      <c r="D44" s="27">
        <f>0</f>
        <v>0</v>
      </c>
      <c r="E44" s="27">
        <f>0</f>
        <v>0</v>
      </c>
      <c r="F44" s="27">
        <f>0</f>
        <v>0</v>
      </c>
      <c r="G44" s="27">
        <f>0</f>
        <v>0</v>
      </c>
      <c r="H44" s="27">
        <f>0</f>
        <v>0</v>
      </c>
      <c r="I44" s="27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</row>
    <row r="45" spans="1:13" ht="14.25">
      <c r="A45" s="16"/>
      <c r="B45" s="17" t="s">
        <v>42</v>
      </c>
      <c r="C45" s="18">
        <f>7404135</f>
        <v>7404135</v>
      </c>
      <c r="D45" s="18">
        <f>1277294</f>
        <v>1277294</v>
      </c>
      <c r="E45" s="18">
        <f>0</f>
        <v>0</v>
      </c>
      <c r="F45" s="18">
        <f>0</f>
        <v>0</v>
      </c>
      <c r="G45" s="18">
        <f>0</f>
        <v>0</v>
      </c>
      <c r="H45" s="18">
        <f>0</f>
        <v>0</v>
      </c>
      <c r="I45" s="18">
        <f>0</f>
        <v>0</v>
      </c>
      <c r="J45" s="18">
        <f>0</f>
        <v>0</v>
      </c>
      <c r="K45" s="18">
        <f>0</f>
        <v>0</v>
      </c>
      <c r="L45" s="18">
        <f>0</f>
        <v>0</v>
      </c>
      <c r="M45" s="18">
        <f>0</f>
        <v>0</v>
      </c>
    </row>
    <row r="46" spans="1:13" ht="14.25">
      <c r="A46" s="25"/>
      <c r="B46" s="33" t="s">
        <v>27</v>
      </c>
      <c r="C46" s="27">
        <f>3704135</f>
        <v>3704135</v>
      </c>
      <c r="D46" s="27">
        <f>0</f>
        <v>0</v>
      </c>
      <c r="E46" s="27">
        <f>0</f>
        <v>0</v>
      </c>
      <c r="F46" s="27">
        <f>0</f>
        <v>0</v>
      </c>
      <c r="G46" s="27">
        <f>0</f>
        <v>0</v>
      </c>
      <c r="H46" s="27">
        <f>0</f>
        <v>0</v>
      </c>
      <c r="I46" s="27">
        <f>0</f>
        <v>0</v>
      </c>
      <c r="J46" s="27">
        <f>0</f>
        <v>0</v>
      </c>
      <c r="K46" s="27">
        <f>0</f>
        <v>0</v>
      </c>
      <c r="L46" s="27">
        <f>0</f>
        <v>0</v>
      </c>
      <c r="M46" s="27">
        <f>0</f>
        <v>0</v>
      </c>
    </row>
    <row r="47" spans="1:13" ht="14.25">
      <c r="A47" s="31"/>
      <c r="B47" s="32" t="s">
        <v>43</v>
      </c>
      <c r="C47" s="18">
        <f>0</f>
        <v>0</v>
      </c>
      <c r="D47" s="18">
        <f>0</f>
        <v>0</v>
      </c>
      <c r="E47" s="18">
        <f>5943260</f>
        <v>5943260</v>
      </c>
      <c r="F47" s="18">
        <f>3308751</f>
        <v>3308751</v>
      </c>
      <c r="G47" s="18">
        <f>2401118</f>
        <v>2401118</v>
      </c>
      <c r="H47" s="18">
        <f>242625</f>
        <v>242625</v>
      </c>
      <c r="I47" s="18">
        <f>0</f>
        <v>0</v>
      </c>
      <c r="J47" s="18">
        <f>1425493</f>
        <v>1425493</v>
      </c>
      <c r="K47" s="18">
        <f>1769605</f>
        <v>1769605</v>
      </c>
      <c r="L47" s="18">
        <f>3761523</f>
        <v>3761523</v>
      </c>
      <c r="M47" s="18">
        <f>10672856</f>
        <v>10672856</v>
      </c>
    </row>
    <row r="48" spans="1:13" ht="14.25">
      <c r="A48" s="16"/>
      <c r="B48" s="17" t="s">
        <v>44</v>
      </c>
      <c r="C48" s="18">
        <f>29004872</f>
        <v>29004872</v>
      </c>
      <c r="D48" s="18">
        <f>28082166</f>
        <v>28082166</v>
      </c>
      <c r="E48" s="18">
        <f>25532166</f>
        <v>25532166</v>
      </c>
      <c r="F48" s="18">
        <f>21584942</f>
        <v>21584942</v>
      </c>
      <c r="G48" s="18">
        <f>17637718</f>
        <v>17637718</v>
      </c>
      <c r="H48" s="18">
        <f>13690494</f>
        <v>13690494</v>
      </c>
      <c r="I48" s="18">
        <f>9743270</f>
        <v>9743270</v>
      </c>
      <c r="J48" s="18">
        <f>5796046</f>
        <v>5796046</v>
      </c>
      <c r="K48" s="18">
        <f>1848822</f>
        <v>1848822</v>
      </c>
      <c r="L48" s="18">
        <f>0</f>
        <v>0</v>
      </c>
      <c r="M48" s="18">
        <f>0</f>
        <v>0</v>
      </c>
    </row>
    <row r="49" spans="1:13" ht="24">
      <c r="A49" s="25"/>
      <c r="B49" s="33" t="s">
        <v>45</v>
      </c>
      <c r="C49" s="27">
        <f>890340</f>
        <v>890340</v>
      </c>
      <c r="D49" s="27">
        <f>415340</f>
        <v>415340</v>
      </c>
      <c r="E49" s="27">
        <f>0</f>
        <v>0</v>
      </c>
      <c r="F49" s="27">
        <f>0</f>
        <v>0</v>
      </c>
      <c r="G49" s="27">
        <f>0</f>
        <v>0</v>
      </c>
      <c r="H49" s="27">
        <f>0</f>
        <v>0</v>
      </c>
      <c r="I49" s="27">
        <f>0</f>
        <v>0</v>
      </c>
      <c r="J49" s="27">
        <f>0</f>
        <v>0</v>
      </c>
      <c r="K49" s="27">
        <f>0</f>
        <v>0</v>
      </c>
      <c r="L49" s="27">
        <f>0</f>
        <v>0</v>
      </c>
      <c r="M49" s="27">
        <f>0</f>
        <v>0</v>
      </c>
    </row>
    <row r="50" spans="1:13" ht="14.25">
      <c r="A50" s="31"/>
      <c r="B50" s="32" t="s">
        <v>46</v>
      </c>
      <c r="C50" s="18">
        <f>0</f>
        <v>0</v>
      </c>
      <c r="D50" s="18">
        <f>0</f>
        <v>0</v>
      </c>
      <c r="E50" s="18">
        <f>0</f>
        <v>0</v>
      </c>
      <c r="F50" s="18">
        <f>0</f>
        <v>0</v>
      </c>
      <c r="G50" s="18">
        <f>0</f>
        <v>0</v>
      </c>
      <c r="H50" s="18">
        <f>0</f>
        <v>0</v>
      </c>
      <c r="I50" s="18">
        <f>0</f>
        <v>0</v>
      </c>
      <c r="J50" s="18">
        <f>0</f>
        <v>0</v>
      </c>
      <c r="K50" s="18">
        <f>0</f>
        <v>0</v>
      </c>
      <c r="L50" s="18">
        <f>0</f>
        <v>0</v>
      </c>
      <c r="M50" s="18">
        <f>0</f>
        <v>0</v>
      </c>
    </row>
    <row r="51" spans="1:13" ht="36">
      <c r="A51" s="37"/>
      <c r="B51" s="32" t="s">
        <v>47</v>
      </c>
      <c r="C51" s="18">
        <f>0</f>
        <v>0</v>
      </c>
      <c r="D51" s="18">
        <f>0</f>
        <v>0</v>
      </c>
      <c r="E51" s="18">
        <f>0</f>
        <v>0</v>
      </c>
      <c r="F51" s="18">
        <f>0</f>
        <v>0</v>
      </c>
      <c r="G51" s="18">
        <f>0</f>
        <v>0</v>
      </c>
      <c r="H51" s="18">
        <f>0</f>
        <v>0</v>
      </c>
      <c r="I51" s="18">
        <f>0</f>
        <v>0</v>
      </c>
      <c r="J51" s="18">
        <f>0</f>
        <v>0</v>
      </c>
      <c r="K51" s="18">
        <f>0</f>
        <v>0</v>
      </c>
      <c r="L51" s="18">
        <f>0</f>
        <v>0</v>
      </c>
      <c r="M51" s="18">
        <f>0</f>
        <v>0</v>
      </c>
    </row>
    <row r="52" spans="1:13" ht="24">
      <c r="A52" s="37"/>
      <c r="B52" s="32" t="s">
        <v>48</v>
      </c>
      <c r="C52" s="18">
        <f>0</f>
        <v>0</v>
      </c>
      <c r="D52" s="18">
        <f>922706</f>
        <v>922706</v>
      </c>
      <c r="E52" s="18">
        <f>8493260</f>
        <v>8493260</v>
      </c>
      <c r="F52" s="18">
        <f>1312715</f>
        <v>1312715</v>
      </c>
      <c r="G52" s="18">
        <f>3039591</f>
        <v>3039591</v>
      </c>
      <c r="H52" s="18">
        <f>1788731</f>
        <v>1788731</v>
      </c>
      <c r="I52" s="18">
        <f>3704599</f>
        <v>3704599</v>
      </c>
      <c r="J52" s="18">
        <f>5372717</f>
        <v>5372717</v>
      </c>
      <c r="K52" s="18">
        <f>4291336</f>
        <v>4291336</v>
      </c>
      <c r="L52" s="18">
        <f>3840740</f>
        <v>3840740</v>
      </c>
      <c r="M52" s="18">
        <f>6911333</f>
        <v>6911333</v>
      </c>
    </row>
    <row r="53" spans="1:13" ht="14.25">
      <c r="A53" s="38"/>
      <c r="B53" s="39" t="s">
        <v>49</v>
      </c>
      <c r="C53" s="40">
        <f>0.5116</f>
        <v>0.5116</v>
      </c>
      <c r="D53" s="40">
        <f>0.4862</f>
        <v>0.4862</v>
      </c>
      <c r="E53" s="40">
        <f>0.4348</f>
        <v>0.4348</v>
      </c>
      <c r="F53" s="40">
        <f>0.3825</f>
        <v>0.3825</v>
      </c>
      <c r="G53" s="40">
        <f>0.3095</f>
        <v>0.3095</v>
      </c>
      <c r="H53" s="40">
        <f>0.234</f>
        <v>0.234</v>
      </c>
      <c r="I53" s="40">
        <f>0.1628</f>
        <v>0.1628</v>
      </c>
      <c r="J53" s="40">
        <f>0.1008</f>
        <v>0.1008</v>
      </c>
      <c r="K53" s="40">
        <f>0.0322</f>
        <v>0.0322</v>
      </c>
      <c r="L53" s="40">
        <f>0</f>
        <v>0</v>
      </c>
      <c r="M53" s="40">
        <f>0</f>
        <v>0</v>
      </c>
    </row>
    <row r="54" spans="1:13" ht="24">
      <c r="A54" s="41"/>
      <c r="B54" s="42" t="s">
        <v>50</v>
      </c>
      <c r="C54" s="43">
        <f>0.5116</f>
        <v>0.5116</v>
      </c>
      <c r="D54" s="43">
        <f>0.4862</f>
        <v>0.4862</v>
      </c>
      <c r="E54" s="43">
        <f>0.4348</f>
        <v>0.4348</v>
      </c>
      <c r="F54" s="43">
        <f>0.3825</f>
        <v>0.3825</v>
      </c>
      <c r="G54" s="43">
        <f>0.3095</f>
        <v>0.3095</v>
      </c>
      <c r="H54" s="43">
        <f>0.234</f>
        <v>0.234</v>
      </c>
      <c r="I54" s="43">
        <f>0.1628</f>
        <v>0.1628</v>
      </c>
      <c r="J54" s="43">
        <f>0.1008</f>
        <v>0.1008</v>
      </c>
      <c r="K54" s="43">
        <f>0.0322</f>
        <v>0.0322</v>
      </c>
      <c r="L54" s="43">
        <f>0</f>
        <v>0</v>
      </c>
      <c r="M54" s="43">
        <f>0</f>
        <v>0</v>
      </c>
    </row>
    <row r="55" spans="1:13" ht="24">
      <c r="A55" s="41"/>
      <c r="B55" s="44" t="s">
        <v>51</v>
      </c>
      <c r="C55" s="43">
        <f>0.1078</f>
        <v>0.1078</v>
      </c>
      <c r="D55" s="43">
        <f>0.078</f>
        <v>0.078</v>
      </c>
      <c r="E55" s="43">
        <f>0.0805</f>
        <v>0.0805</v>
      </c>
      <c r="F55" s="43">
        <f>0.1044</f>
        <v>0.1044</v>
      </c>
      <c r="G55" s="43">
        <f>0.1022</f>
        <v>0.1022</v>
      </c>
      <c r="H55" s="43">
        <f>0.0975</f>
        <v>0.0975</v>
      </c>
      <c r="I55" s="43">
        <f>0.0913</f>
        <v>0.0913</v>
      </c>
      <c r="J55" s="43">
        <f>0.093</f>
        <v>0.093</v>
      </c>
      <c r="K55" s="43">
        <f>0.088</f>
        <v>0.088</v>
      </c>
      <c r="L55" s="43">
        <f>0.046</f>
        <v>0.046</v>
      </c>
      <c r="M55" s="43">
        <f>0.0072</f>
        <v>0.0072</v>
      </c>
    </row>
    <row r="56" spans="1:13" ht="24">
      <c r="A56" s="45"/>
      <c r="B56" s="46" t="s">
        <v>52</v>
      </c>
      <c r="C56" s="47">
        <f>0.1078</f>
        <v>0.1078</v>
      </c>
      <c r="D56" s="47">
        <f>0.078</f>
        <v>0.078</v>
      </c>
      <c r="E56" s="47">
        <f>0.0805</f>
        <v>0.0805</v>
      </c>
      <c r="F56" s="47">
        <f>0.1044</f>
        <v>0.1044</v>
      </c>
      <c r="G56" s="47">
        <f>0.1022</f>
        <v>0.1022</v>
      </c>
      <c r="H56" s="47">
        <f>0.0975</f>
        <v>0.0975</v>
      </c>
      <c r="I56" s="47">
        <f>0.0913</f>
        <v>0.0913</v>
      </c>
      <c r="J56" s="47">
        <f>0.093</f>
        <v>0.093</v>
      </c>
      <c r="K56" s="47">
        <f>0.088</f>
        <v>0.088</v>
      </c>
      <c r="L56" s="47">
        <f>0.046</f>
        <v>0.046</v>
      </c>
      <c r="M56" s="47">
        <f>0.0072</f>
        <v>0.0072</v>
      </c>
    </row>
    <row r="57" spans="1:13" ht="14.25">
      <c r="A57" s="38"/>
      <c r="B57" s="39" t="s">
        <v>53</v>
      </c>
      <c r="C57" s="40">
        <f>0.0327</f>
        <v>0.0327</v>
      </c>
      <c r="D57" s="40">
        <f>0.1249</f>
        <v>0.1249</v>
      </c>
      <c r="E57" s="40">
        <f>0.1655</f>
        <v>0.1655</v>
      </c>
      <c r="F57" s="40">
        <f>0.1189</f>
        <v>0.1189</v>
      </c>
      <c r="G57" s="40">
        <f>0.1018</f>
        <v>0.1018</v>
      </c>
      <c r="H57" s="40">
        <f>0.1297</f>
        <v>0.1297</v>
      </c>
      <c r="I57" s="40">
        <f>0.1706</f>
        <v>0.1706</v>
      </c>
      <c r="J57" s="40">
        <f>0.1282</f>
        <v>0.1282</v>
      </c>
      <c r="K57" s="40">
        <f>0.1183</f>
        <v>0.1183</v>
      </c>
      <c r="L57" s="40">
        <f>0.1104</f>
        <v>0.1104</v>
      </c>
      <c r="M57" s="40">
        <f>0.1185</f>
        <v>0.1185</v>
      </c>
    </row>
    <row r="58" spans="1:13" ht="14.25">
      <c r="A58" s="41"/>
      <c r="B58" s="42" t="s">
        <v>54</v>
      </c>
      <c r="C58" s="43">
        <f>0.075</f>
        <v>0.075</v>
      </c>
      <c r="D58" s="43">
        <f>0.078</f>
        <v>0.078</v>
      </c>
      <c r="E58" s="43">
        <f>0.0805</f>
        <v>0.0805</v>
      </c>
      <c r="F58" s="43">
        <f>0.1077</f>
        <v>0.1077</v>
      </c>
      <c r="G58" s="43">
        <f>0.1364</f>
        <v>0.1364</v>
      </c>
      <c r="H58" s="43">
        <f>0.1287</f>
        <v>0.1287</v>
      </c>
      <c r="I58" s="43">
        <f>0.1168</f>
        <v>0.1168</v>
      </c>
      <c r="J58" s="43">
        <f>0.134</f>
        <v>0.134</v>
      </c>
      <c r="K58" s="43">
        <f>0.1428</f>
        <v>0.1428</v>
      </c>
      <c r="L58" s="43">
        <f>0.139</f>
        <v>0.139</v>
      </c>
      <c r="M58" s="43">
        <f>0.119</f>
        <v>0.119</v>
      </c>
    </row>
    <row r="59" spans="1:13" ht="24">
      <c r="A59" s="41"/>
      <c r="B59" s="42" t="s">
        <v>55</v>
      </c>
      <c r="C59" s="43">
        <f>0.075</f>
        <v>0.075</v>
      </c>
      <c r="D59" s="43">
        <f>0.078</f>
        <v>0.078</v>
      </c>
      <c r="E59" s="43">
        <f>0.0805</f>
        <v>0.0805</v>
      </c>
      <c r="F59" s="43">
        <f>0.1077</f>
        <v>0.1077</v>
      </c>
      <c r="G59" s="43">
        <f>0.1364</f>
        <v>0.1364</v>
      </c>
      <c r="H59" s="43">
        <f>0.1287</f>
        <v>0.1287</v>
      </c>
      <c r="I59" s="43">
        <f>0.1168</f>
        <v>0.1168</v>
      </c>
      <c r="J59" s="43">
        <f>0.134</f>
        <v>0.134</v>
      </c>
      <c r="K59" s="43">
        <f>0.1428</f>
        <v>0.1428</v>
      </c>
      <c r="L59" s="43">
        <f>0.139</f>
        <v>0.139</v>
      </c>
      <c r="M59" s="43">
        <f>0.119</f>
        <v>0.119</v>
      </c>
    </row>
    <row r="60" spans="1:13" ht="24">
      <c r="A60" s="41"/>
      <c r="B60" s="42" t="s">
        <v>56</v>
      </c>
      <c r="C60" s="43">
        <f>0.1078</f>
        <v>0.1078</v>
      </c>
      <c r="D60" s="43">
        <f>0.078</f>
        <v>0.078</v>
      </c>
      <c r="E60" s="43">
        <f>0.0805</f>
        <v>0.0805</v>
      </c>
      <c r="F60" s="43">
        <f>0.1044</f>
        <v>0.1044</v>
      </c>
      <c r="G60" s="43">
        <f>0.1022</f>
        <v>0.1022</v>
      </c>
      <c r="H60" s="43">
        <f>0.0975</f>
        <v>0.0975</v>
      </c>
      <c r="I60" s="43">
        <f>0.0913</f>
        <v>0.0913</v>
      </c>
      <c r="J60" s="43">
        <f>0.093</f>
        <v>0.093</v>
      </c>
      <c r="K60" s="43">
        <f>0.088</f>
        <v>0.088</v>
      </c>
      <c r="L60" s="43">
        <f>0.046</f>
        <v>0.046</v>
      </c>
      <c r="M60" s="43">
        <f>0.0072</f>
        <v>0.0072</v>
      </c>
    </row>
    <row r="61" spans="1:13" ht="24">
      <c r="A61" s="48"/>
      <c r="B61" s="49" t="s">
        <v>57</v>
      </c>
      <c r="C61" s="50" t="str">
        <f aca="true" t="shared" si="2" ref="C61:M61">+IF(C60&lt;=C58,"Spełnia","Nie spełnia")</f>
        <v>Nie spełnia</v>
      </c>
      <c r="D61" s="50" t="str">
        <f t="shared" si="2"/>
        <v>Spełnia</v>
      </c>
      <c r="E61" s="50" t="str">
        <f t="shared" si="2"/>
        <v>Spełnia</v>
      </c>
      <c r="F61" s="50" t="str">
        <f t="shared" si="2"/>
        <v>Spełnia</v>
      </c>
      <c r="G61" s="50" t="str">
        <f t="shared" si="2"/>
        <v>Spełnia</v>
      </c>
      <c r="H61" s="50" t="str">
        <f t="shared" si="2"/>
        <v>Spełnia</v>
      </c>
      <c r="I61" s="50" t="str">
        <f t="shared" si="2"/>
        <v>Spełnia</v>
      </c>
      <c r="J61" s="50" t="str">
        <f t="shared" si="2"/>
        <v>Spełnia</v>
      </c>
      <c r="K61" s="50" t="str">
        <f t="shared" si="2"/>
        <v>Spełnia</v>
      </c>
      <c r="L61" s="50" t="str">
        <f t="shared" si="2"/>
        <v>Spełnia</v>
      </c>
      <c r="M61" s="50" t="str">
        <f t="shared" si="2"/>
        <v>Spełnia</v>
      </c>
    </row>
    <row r="62" spans="1:13" ht="24">
      <c r="A62" s="48"/>
      <c r="B62" s="49" t="s">
        <v>58</v>
      </c>
      <c r="C62" s="50" t="str">
        <f aca="true" t="shared" si="3" ref="C62:M62">+IF(C60&lt;=C59,"Spełnia","Nie spełnia")</f>
        <v>Nie spełnia</v>
      </c>
      <c r="D62" s="50" t="str">
        <f t="shared" si="3"/>
        <v>Spełnia</v>
      </c>
      <c r="E62" s="50" t="str">
        <f t="shared" si="3"/>
        <v>Spełnia</v>
      </c>
      <c r="F62" s="50" t="str">
        <f t="shared" si="3"/>
        <v>Spełnia</v>
      </c>
      <c r="G62" s="50" t="str">
        <f t="shared" si="3"/>
        <v>Spełnia</v>
      </c>
      <c r="H62" s="50" t="str">
        <f t="shared" si="3"/>
        <v>Spełnia</v>
      </c>
      <c r="I62" s="50" t="str">
        <f t="shared" si="3"/>
        <v>Spełnia</v>
      </c>
      <c r="J62" s="50" t="str">
        <f t="shared" si="3"/>
        <v>Spełnia</v>
      </c>
      <c r="K62" s="50" t="str">
        <f t="shared" si="3"/>
        <v>Spełnia</v>
      </c>
      <c r="L62" s="50" t="str">
        <f t="shared" si="3"/>
        <v>Spełnia</v>
      </c>
      <c r="M62" s="50" t="str">
        <f t="shared" si="3"/>
        <v>Spełnia</v>
      </c>
    </row>
    <row r="63" spans="1:13" ht="25.5">
      <c r="A63" s="51"/>
      <c r="B63" s="52" t="s">
        <v>59</v>
      </c>
      <c r="C63" s="43">
        <f>0.1078</f>
        <v>0.1078</v>
      </c>
      <c r="D63" s="43">
        <f>0.078</f>
        <v>0.078</v>
      </c>
      <c r="E63" s="43">
        <f>0.0805</f>
        <v>0.0805</v>
      </c>
      <c r="F63" s="43">
        <f>0.1044</f>
        <v>0.1044</v>
      </c>
      <c r="G63" s="43">
        <f>0.1022</f>
        <v>0.1022</v>
      </c>
      <c r="H63" s="43">
        <f>0.0975</f>
        <v>0.0975</v>
      </c>
      <c r="I63" s="43">
        <f>0.0913</f>
        <v>0.0913</v>
      </c>
      <c r="J63" s="43">
        <f>0.093</f>
        <v>0.093</v>
      </c>
      <c r="K63" s="43">
        <f>0.088</f>
        <v>0.088</v>
      </c>
      <c r="L63" s="43">
        <f>0.046</f>
        <v>0.046</v>
      </c>
      <c r="M63" s="43">
        <f>0.0072</f>
        <v>0.0072</v>
      </c>
    </row>
    <row r="64" spans="1:13" ht="25.5">
      <c r="A64" s="53"/>
      <c r="B64" s="54" t="s">
        <v>60</v>
      </c>
      <c r="C64" s="50" t="str">
        <f aca="true" t="shared" si="4" ref="C64:M64">+IF(C63&lt;=C58,"Spełnia","Nie spełnia")</f>
        <v>Nie spełnia</v>
      </c>
      <c r="D64" s="50" t="str">
        <f t="shared" si="4"/>
        <v>Spełnia</v>
      </c>
      <c r="E64" s="50" t="str">
        <f t="shared" si="4"/>
        <v>Spełnia</v>
      </c>
      <c r="F64" s="50" t="str">
        <f t="shared" si="4"/>
        <v>Spełnia</v>
      </c>
      <c r="G64" s="50" t="str">
        <f t="shared" si="4"/>
        <v>Spełnia</v>
      </c>
      <c r="H64" s="50" t="str">
        <f t="shared" si="4"/>
        <v>Spełnia</v>
      </c>
      <c r="I64" s="50" t="str">
        <f t="shared" si="4"/>
        <v>Spełnia</v>
      </c>
      <c r="J64" s="50" t="str">
        <f t="shared" si="4"/>
        <v>Spełnia</v>
      </c>
      <c r="K64" s="50" t="str">
        <f t="shared" si="4"/>
        <v>Spełnia</v>
      </c>
      <c r="L64" s="50" t="str">
        <f t="shared" si="4"/>
        <v>Spełnia</v>
      </c>
      <c r="M64" s="50" t="str">
        <f t="shared" si="4"/>
        <v>Spełnia</v>
      </c>
    </row>
    <row r="65" spans="1:13" ht="25.5">
      <c r="A65" s="55"/>
      <c r="B65" s="56" t="s">
        <v>61</v>
      </c>
      <c r="C65" s="57" t="str">
        <f aca="true" t="shared" si="5" ref="C65:M65">+IF(C63&lt;=C59,"Spełnia","Nie spełnia")</f>
        <v>Nie spełnia</v>
      </c>
      <c r="D65" s="57" t="str">
        <f t="shared" si="5"/>
        <v>Spełnia</v>
      </c>
      <c r="E65" s="57" t="str">
        <f t="shared" si="5"/>
        <v>Spełnia</v>
      </c>
      <c r="F65" s="57" t="str">
        <f t="shared" si="5"/>
        <v>Spełnia</v>
      </c>
      <c r="G65" s="57" t="str">
        <f t="shared" si="5"/>
        <v>Spełnia</v>
      </c>
      <c r="H65" s="57" t="str">
        <f t="shared" si="5"/>
        <v>Spełnia</v>
      </c>
      <c r="I65" s="57" t="str">
        <f t="shared" si="5"/>
        <v>Spełnia</v>
      </c>
      <c r="J65" s="57" t="str">
        <f t="shared" si="5"/>
        <v>Spełnia</v>
      </c>
      <c r="K65" s="57" t="str">
        <f t="shared" si="5"/>
        <v>Spełnia</v>
      </c>
      <c r="L65" s="57" t="str">
        <f t="shared" si="5"/>
        <v>Spełnia</v>
      </c>
      <c r="M65" s="57" t="str">
        <f t="shared" si="5"/>
        <v>Spełnia</v>
      </c>
    </row>
    <row r="66" spans="1:13" ht="14.25">
      <c r="A66" s="58"/>
      <c r="B66" s="59" t="s">
        <v>62</v>
      </c>
      <c r="C66" s="18">
        <f>53703846</f>
        <v>53703846</v>
      </c>
      <c r="D66" s="18">
        <f>55016290</f>
        <v>55016290</v>
      </c>
      <c r="E66" s="18">
        <f>56359151</f>
        <v>56359151</v>
      </c>
      <c r="F66" s="18">
        <f>55204538</f>
        <v>55204538</v>
      </c>
      <c r="G66" s="18">
        <f>55812606</f>
        <v>55812606</v>
      </c>
      <c r="H66" s="18">
        <f>57304345</f>
        <v>57304345</v>
      </c>
      <c r="I66" s="18">
        <f>58529767</f>
        <v>58529767</v>
      </c>
      <c r="J66" s="18">
        <f>56207714</f>
        <v>56207714</v>
      </c>
      <c r="K66" s="18">
        <f>56080830</f>
        <v>56080830</v>
      </c>
      <c r="L66" s="18">
        <f>56052042</f>
        <v>56052042</v>
      </c>
      <c r="M66" s="18">
        <f>56922823</f>
        <v>56922823</v>
      </c>
    </row>
    <row r="67" spans="1:13" ht="14.25">
      <c r="A67" s="53"/>
      <c r="B67" s="60" t="s">
        <v>63</v>
      </c>
      <c r="C67" s="21">
        <f>52949204</f>
        <v>52949204</v>
      </c>
      <c r="D67" s="21">
        <f>49176904</f>
        <v>49176904</v>
      </c>
      <c r="E67" s="21">
        <f>48141857</f>
        <v>48141857</v>
      </c>
      <c r="F67" s="21">
        <f>49721823</f>
        <v>49721823</v>
      </c>
      <c r="G67" s="21">
        <f>51186265</f>
        <v>51186265</v>
      </c>
      <c r="H67" s="21">
        <f>50906463</f>
        <v>50906463</v>
      </c>
      <c r="I67" s="21">
        <f>49625168</f>
        <v>49625168</v>
      </c>
      <c r="J67" s="21">
        <f>50154497</f>
        <v>50154497</v>
      </c>
      <c r="K67" s="21">
        <f>50628787</f>
        <v>50628787</v>
      </c>
      <c r="L67" s="21">
        <f>51070684</f>
        <v>51070684</v>
      </c>
      <c r="M67" s="21">
        <f>51391263</f>
        <v>51391263</v>
      </c>
    </row>
    <row r="68" spans="1:13" ht="14.25">
      <c r="A68" s="55"/>
      <c r="B68" s="61" t="s">
        <v>64</v>
      </c>
      <c r="C68" s="27">
        <f>754642</f>
        <v>754642</v>
      </c>
      <c r="D68" s="27">
        <f>5839386</f>
        <v>5839386</v>
      </c>
      <c r="E68" s="27">
        <f>8217294</f>
        <v>8217294</v>
      </c>
      <c r="F68" s="27">
        <f>5482715</f>
        <v>5482715</v>
      </c>
      <c r="G68" s="27">
        <f>4626341</f>
        <v>4626341</v>
      </c>
      <c r="H68" s="27">
        <f>6397882</f>
        <v>6397882</v>
      </c>
      <c r="I68" s="27">
        <f>8904599</f>
        <v>8904599</v>
      </c>
      <c r="J68" s="27">
        <f>6053217</f>
        <v>6053217</v>
      </c>
      <c r="K68" s="27">
        <f>5452043</f>
        <v>5452043</v>
      </c>
      <c r="L68" s="27">
        <f>4981358</f>
        <v>4981358</v>
      </c>
      <c r="M68" s="27">
        <f>5531560</f>
        <v>5531560</v>
      </c>
    </row>
    <row r="69" spans="1:13" ht="14.25">
      <c r="A69" s="58"/>
      <c r="B69" s="59" t="s">
        <v>65</v>
      </c>
      <c r="C69" s="18">
        <f>56695019</f>
        <v>56695019</v>
      </c>
      <c r="D69" s="18">
        <f>57755612</f>
        <v>57755612</v>
      </c>
      <c r="E69" s="18">
        <f>58718541</f>
        <v>58718541</v>
      </c>
      <c r="F69" s="18">
        <f>56434538</f>
        <v>56434538</v>
      </c>
      <c r="G69" s="18">
        <f>56985856</f>
        <v>56985856</v>
      </c>
      <c r="H69" s="18">
        <f>58495194</f>
        <v>58495194</v>
      </c>
      <c r="I69" s="18">
        <f>59829767</f>
        <v>59829767</v>
      </c>
      <c r="J69" s="18">
        <f>57527214</f>
        <v>57527214</v>
      </c>
      <c r="K69" s="18">
        <f>57420123</f>
        <v>57420123</v>
      </c>
      <c r="L69" s="18">
        <f>57411424</f>
        <v>57411424</v>
      </c>
      <c r="M69" s="18">
        <f>58302596</f>
        <v>58302596</v>
      </c>
    </row>
    <row r="70" spans="1:13" ht="14.25">
      <c r="A70" s="53"/>
      <c r="B70" s="60" t="s">
        <v>66</v>
      </c>
      <c r="C70" s="21">
        <f>60399154</f>
        <v>60399154</v>
      </c>
      <c r="D70" s="21">
        <f>56832906</f>
        <v>56832906</v>
      </c>
      <c r="E70" s="21">
        <f>50225281</f>
        <v>50225281</v>
      </c>
      <c r="F70" s="21">
        <f>55121823</f>
        <v>55121823</v>
      </c>
      <c r="G70" s="21">
        <f>53946265</f>
        <v>53946265</v>
      </c>
      <c r="H70" s="21">
        <f>56706463</f>
        <v>56706463</v>
      </c>
      <c r="I70" s="21">
        <f>56125168</f>
        <v>56125168</v>
      </c>
      <c r="J70" s="21">
        <f>52154497</f>
        <v>52154497</v>
      </c>
      <c r="K70" s="21">
        <f>53128787</f>
        <v>53128787</v>
      </c>
      <c r="L70" s="21">
        <f>53570684</f>
        <v>53570684</v>
      </c>
      <c r="M70" s="21">
        <f>51391263</f>
        <v>51391263</v>
      </c>
    </row>
    <row r="71" spans="1:13" ht="14.25">
      <c r="A71" s="55"/>
      <c r="B71" s="61" t="s">
        <v>67</v>
      </c>
      <c r="C71" s="27">
        <f>-3704135</f>
        <v>-3704135</v>
      </c>
      <c r="D71" s="27">
        <f>922706</f>
        <v>922706</v>
      </c>
      <c r="E71" s="27">
        <f>8493260</f>
        <v>8493260</v>
      </c>
      <c r="F71" s="27">
        <f>1312715</f>
        <v>1312715</v>
      </c>
      <c r="G71" s="27">
        <f>3039591</f>
        <v>3039591</v>
      </c>
      <c r="H71" s="27">
        <f>1788731</f>
        <v>1788731</v>
      </c>
      <c r="I71" s="27">
        <f>3704599</f>
        <v>3704599</v>
      </c>
      <c r="J71" s="27">
        <f>5372717</f>
        <v>5372717</v>
      </c>
      <c r="K71" s="27">
        <f>4291336</f>
        <v>4291336</v>
      </c>
      <c r="L71" s="27">
        <f>3840740</f>
        <v>3840740</v>
      </c>
      <c r="M71" s="27">
        <f>6911333</f>
        <v>6911333</v>
      </c>
    </row>
    <row r="72" spans="1:13" ht="14.25">
      <c r="A72" s="58"/>
      <c r="B72" s="59" t="s">
        <v>68</v>
      </c>
      <c r="C72" s="18">
        <f>7404135</f>
        <v>7404135</v>
      </c>
      <c r="D72" s="18">
        <f>1277294</f>
        <v>1277294</v>
      </c>
      <c r="E72" s="18">
        <f>0</f>
        <v>0</v>
      </c>
      <c r="F72" s="18">
        <f>5943260</f>
        <v>5943260</v>
      </c>
      <c r="G72" s="18">
        <f>3308751</f>
        <v>3308751</v>
      </c>
      <c r="H72" s="18">
        <f>2401118</f>
        <v>2401118</v>
      </c>
      <c r="I72" s="18">
        <f>242625</f>
        <v>242625</v>
      </c>
      <c r="J72" s="18">
        <f>0</f>
        <v>0</v>
      </c>
      <c r="K72" s="18">
        <f>1425493</f>
        <v>1425493</v>
      </c>
      <c r="L72" s="18">
        <f>1769605</f>
        <v>1769605</v>
      </c>
      <c r="M72" s="18">
        <f>3761523</f>
        <v>3761523</v>
      </c>
    </row>
    <row r="73" spans="1:13" ht="14.25">
      <c r="A73" s="55"/>
      <c r="B73" s="62" t="s">
        <v>69</v>
      </c>
      <c r="C73" s="27">
        <f>3700000</f>
        <v>3700000</v>
      </c>
      <c r="D73" s="27">
        <f>2200000</f>
        <v>2200000</v>
      </c>
      <c r="E73" s="27">
        <f>2550000</f>
        <v>2550000</v>
      </c>
      <c r="F73" s="27">
        <f aca="true" t="shared" si="6" ref="F73:K73">3947224</f>
        <v>3947224</v>
      </c>
      <c r="G73" s="27">
        <f t="shared" si="6"/>
        <v>3947224</v>
      </c>
      <c r="H73" s="27">
        <f t="shared" si="6"/>
        <v>3947224</v>
      </c>
      <c r="I73" s="27">
        <f t="shared" si="6"/>
        <v>3947224</v>
      </c>
      <c r="J73" s="27">
        <f t="shared" si="6"/>
        <v>3947224</v>
      </c>
      <c r="K73" s="27">
        <f t="shared" si="6"/>
        <v>3947224</v>
      </c>
      <c r="L73" s="27">
        <f>1848822</f>
        <v>1848822</v>
      </c>
      <c r="M73" s="27">
        <f>0</f>
        <v>0</v>
      </c>
    </row>
    <row r="74" spans="1:13" ht="14.25">
      <c r="A74" s="63"/>
      <c r="B74" s="64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14.25">
      <c r="A75" s="63"/>
      <c r="B75" s="65" t="s">
        <v>70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2:13" ht="14.25">
      <c r="B76" s="65" t="s">
        <v>71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3:13" ht="14.25"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3:13" ht="14.25"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3:13" ht="14.25"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Header>&amp;C&amp;8Załącznik Nr 1 do uchwały Rady Miejskiej w Barlinku Nr XXXV/447/2013 z dnia 31 stycznia 2013 roku w sprawie wieloletniej prognozy finansowej Gmin&amp;11y &amp;8Barlinek na lata 2013-2023</oddHeader>
    <oddFooter>&amp;L&amp;"Czcionka tekstu podstawowego,Kursywa"&amp;8Wersja szablonu wydruku: 2012-11-07a&amp;C&amp;8Strona &amp;P z &amp;N&amp;R&amp;"Czcionka tekstu podstawowego,Kursywa"&amp;8Wydruk z dn.: &amp;D - &amp;T</oddFooter>
  </headerFooter>
  <rowBreaks count="2" manualBreakCount="2">
    <brk id="40" min="2" max="32" man="1"/>
    <brk id="56" min="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Barlinku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Werbolewska</dc:creator>
  <cp:keywords/>
  <dc:description/>
  <cp:lastModifiedBy>Zofia Werbolewska</cp:lastModifiedBy>
  <dcterms:created xsi:type="dcterms:W3CDTF">2013-02-04T10:14:40Z</dcterms:created>
  <dcterms:modified xsi:type="dcterms:W3CDTF">2013-02-04T10:14:57Z</dcterms:modified>
  <cp:category/>
  <cp:version/>
  <cp:contentType/>
  <cp:contentStatus/>
</cp:coreProperties>
</file>