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ał_1_WPF" sheetId="1" r:id="rId1"/>
    <sheet name="załacznik 2" sheetId="2" r:id="rId2"/>
    <sheet name="załcznika 2a" sheetId="3" r:id="rId3"/>
  </sheets>
  <externalReferences>
    <externalReference r:id="rId6"/>
  </externalReferences>
  <definedNames>
    <definedName name="_xlnm.Print_Area" localSheetId="0">'zał_1_WPF'!$A$1:$T$86</definedName>
    <definedName name="Excel_BuiltIn_Print_Area_1_1">'zał_1_WPF'!$A$1:$L$86</definedName>
  </definedNames>
  <calcPr fullCalcOnLoad="1"/>
</workbook>
</file>

<file path=xl/sharedStrings.xml><?xml version="1.0" encoding="utf-8"?>
<sst xmlns="http://schemas.openxmlformats.org/spreadsheetml/2006/main" count="1044" uniqueCount="243">
  <si>
    <t>WIELOLETNIA PROGNOZA FINANSOWA GMINY Barlinek</t>
  </si>
  <si>
    <t xml:space="preserve">Przepływy pieniężne i kwota długu na 2012r .                                                   </t>
  </si>
  <si>
    <t>Lp.</t>
  </si>
  <si>
    <t>Wyszczególnienie</t>
  </si>
  <si>
    <t>Wykonanie</t>
  </si>
  <si>
    <t>Wykonanie za 2011 rok</t>
  </si>
  <si>
    <t>Plan na 2012 rok</t>
  </si>
  <si>
    <t xml:space="preserve">    Prognoza </t>
  </si>
  <si>
    <t>2008 rok</t>
  </si>
  <si>
    <t xml:space="preserve">2009 rok </t>
  </si>
  <si>
    <t>2010 rok</t>
  </si>
  <si>
    <t>%</t>
  </si>
  <si>
    <t>2011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</si>
  <si>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</si>
  <si>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</si>
  <si>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</si>
  <si>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</si>
  <si>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</si>
  <si>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</si>
  <si>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</si>
  <si>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</si>
  <si>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2021 rok</t>
  </si>
  <si>
    <t>2022 rok</t>
  </si>
  <si>
    <t>2023 rok</t>
  </si>
  <si>
    <t>1.</t>
  </si>
  <si>
    <t xml:space="preserve">Dochody ogółem 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</si>
  <si>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</si>
  <si>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</si>
  <si>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</si>
  <si>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</si>
  <si>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</si>
  <si>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</si>
  <si>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</si>
  <si>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</si>
  <si>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</si>
  <si>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</si>
  <si>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</si>
  <si>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</si>
  <si>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 xml:space="preserve">2.3. </t>
  </si>
  <si>
    <t xml:space="preserve">Przedsięwzięcia, o których mowa w art. 226 ust. 4 ufp (wydatki bieżące z wyłączeniem wieloletnich gwarancji i poręczeń)                         </t>
  </si>
  <si>
    <t>wieloletnie programy finansowane z udziałem środków, o których mowa w art.. 5 ust. 1 pkt 2 i 3 ufp</t>
  </si>
  <si>
    <t>wieloletnie umowy o partnerstwie publiczno - prywatnym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</si>
  <si>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</si>
  <si>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</si>
  <si>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</si>
  <si>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</si>
  <si>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</si>
  <si>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kwota kontrolna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</si>
  <si>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</si>
  <si>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>4.</t>
  </si>
  <si>
    <t>Przychody nie zwiększające długu</t>
  </si>
  <si>
    <t>4.1.</t>
  </si>
  <si>
    <t>Nadwyżki budżetowe z lat poprzednich</t>
  </si>
  <si>
    <t>4.2.</t>
  </si>
  <si>
    <t>Wolne środki</t>
  </si>
  <si>
    <t xml:space="preserve">4.3. </t>
  </si>
  <si>
    <t xml:space="preserve">Prywatyzacja i spłaty udzielonych pożyczek </t>
  </si>
  <si>
    <t>5.</t>
  </si>
  <si>
    <t>Środki do dyspozycji - źródło finansowania spłaty długu i wydatków majątkowych  (poz. 3 + poz. 4)</t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</si>
  <si>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</si>
  <si>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t>6.</t>
  </si>
  <si>
    <t>Obsługa długu (wydatki i rozchody)</t>
  </si>
  <si>
    <t>6.1.</t>
  </si>
  <si>
    <t>Wydatki związane z obsługą długu</t>
  </si>
  <si>
    <t>6.1.1</t>
  </si>
  <si>
    <t>- odsetki i dyskonto</t>
  </si>
  <si>
    <t>podlegające wyłączeniu (w związku z umową zawartą na realizację projektu z udziałem środków, o których mowa w art.5 ust.1 pkt 2 ufp)</t>
  </si>
  <si>
    <t>6.1.2</t>
  </si>
  <si>
    <t>- gwarancje i poręczenia (bez ujętych w przedsięwzięciach)</t>
  </si>
  <si>
    <t xml:space="preserve"> podlegające wyłączeniu (w związku z umową zawartą na realizację projektu z udziałem środków, o których mowa w art.5 ust.1 pkt 2 ufp)</t>
  </si>
  <si>
    <t>6.1.3.</t>
  </si>
  <si>
    <t xml:space="preserve">- wieloletnie gwarancje i poręczenia będące przedsięwzięciami, o których mowa w art. 226 ust. 4 ufp                             </t>
  </si>
  <si>
    <t>podlegające wyłączeniu (w związku z umową  zawartą na realizację projektu z udziałem środków, o których mowa w art.5 ust.1 pkt 2 ufp)</t>
  </si>
  <si>
    <t>6.2.</t>
  </si>
  <si>
    <t>Rozchody zmniejszające dług (spłata rat kredytów i pożyczek, wykup papierów)</t>
  </si>
  <si>
    <t>podlegająca wyłączeniu (w związku z umową zawartą na realizację projektu z udziałem środków, o których mowa w art.5 ust.1 pkt 2 ufp)</t>
  </si>
  <si>
    <t xml:space="preserve">7. </t>
  </si>
  <si>
    <t>Pozostałe rozchody (z wyłączeniem spłat długu)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</si>
  <si>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</si>
  <si>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t>8.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</si>
  <si>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</si>
  <si>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</si>
  <si>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</si>
  <si>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</si>
  <si>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</si>
  <si>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wieloletnie programy finansowane z udziałem środków,  o których mowa w art.. 5 ust. 1 pkt 2 i 3 ufp</t>
  </si>
  <si>
    <t>pozostałe wieloletnie programy, projekty, zadania</t>
  </si>
  <si>
    <t>9.2.</t>
  </si>
  <si>
    <t>Pozostałe wydatki majątkowe</t>
  </si>
  <si>
    <t>10.</t>
  </si>
  <si>
    <t>Przychody zwiększające dług (nowo zaciągane kredyty, pożyczki, emitowane papiery)</t>
  </si>
  <si>
    <t>11.</t>
  </si>
  <si>
    <t>Wynik finansowy budżetu (poz.8 - poz.9 + poz.10)</t>
  </si>
  <si>
    <t>PROGNOZA KWOTY DŁUGU I JEJ SPŁAT</t>
  </si>
  <si>
    <t xml:space="preserve">Plan na 2012 rok </t>
  </si>
  <si>
    <t>12.</t>
  </si>
  <si>
    <t>Kwota długu na koniec roku</t>
  </si>
  <si>
    <t>umowy podlegające włączeniu na podstawie par.3 pkt.2 Rozporządzenie Ministra Finansów z dnia 23 grudnia 2010 r (Dz. U. Nr 256, poz. 1692).</t>
  </si>
  <si>
    <t>13.</t>
  </si>
  <si>
    <t xml:space="preserve">Kwota spłaty długu </t>
  </si>
  <si>
    <t>14.</t>
  </si>
  <si>
    <t>Sposób sfinansowania spłaty długu (kwota powinna być zgodna z kwotą wykazaną w poz. 13)</t>
  </si>
  <si>
    <r>
      <t xml:space="preserve">- nadwyżki budżetowe </t>
    </r>
    <r>
      <rPr>
        <b/>
        <sz val="13"/>
        <color indexed="8"/>
        <rFont val="Times New Roman"/>
        <family val="1"/>
      </rPr>
      <t>(</t>
    </r>
    <r>
      <rPr>
        <sz val="13"/>
        <color indexed="8"/>
        <rFont val="Times New Roman"/>
        <family val="1"/>
      </rPr>
      <t>wówczas gdy skumulowany wynik budżetu powiększony o wynik roku jest nadwyżką - wartość dodatnia</t>
    </r>
    <r>
      <rPr>
        <b/>
        <sz val="13"/>
        <color indexed="8"/>
        <rFont val="Times New Roman"/>
        <family val="1"/>
      </rPr>
      <t>)</t>
    </r>
  </si>
  <si>
    <t>- wolne środki</t>
  </si>
  <si>
    <t>- przychody z prywatyzacji i spłat udzielonych pożyczek</t>
  </si>
  <si>
    <t>- przychody z tytułu kredytów, pożyczek, emitowane papiery wartościowe</t>
  </si>
  <si>
    <t>15.</t>
  </si>
  <si>
    <t>Kwota długu związku doliczana do długu j.s.t. (wymóg art. 244 ufp)</t>
  </si>
  <si>
    <t>x</t>
  </si>
  <si>
    <t>16.</t>
  </si>
  <si>
    <t xml:space="preserve">Kwota spłaty długu związku doliczonego do długu </t>
  </si>
  <si>
    <t>17.</t>
  </si>
  <si>
    <t>Wskaźniki zadłużenia</t>
  </si>
  <si>
    <t>17.1.</t>
  </si>
  <si>
    <t>Relacja, o której mowa w art. 169 ustawy z 30 czerwca 2005 r. o finansach publicznych (bez wyłączeń)</t>
  </si>
  <si>
    <t>Relacja, o której mowa w art. 169 ustawy z 30 czerwca 2005 r.               o finansach publicznych po wyłączeniach (max 15%)</t>
  </si>
  <si>
    <t>17.2.</t>
  </si>
  <si>
    <t>Relacja, o której mowa w art. 170 ustawy z 30 czerwca 2005 r. o finansach publicznych (bez wyłączeń)</t>
  </si>
  <si>
    <t>Relacja, o której mowa w art. 170 ustawy z 30 czerwca 2005 r. o finansach publicznych po wyłączeniach (max 60%)</t>
  </si>
  <si>
    <t>17.3.</t>
  </si>
  <si>
    <t>Relacja bazowa do wyliczenia Indywidualnego Limitu Zadłużenia [(poz.1 + poz.3 - poz. 4) : poz.I.]</t>
  </si>
  <si>
    <t>17.4.</t>
  </si>
  <si>
    <t>Indywidualny limit zadłużenia, o którym mowa w art..243 ust. 1 ustawy z 27 sierpnia 2009 r. o finansach publicznych w % (średnia z trzech poprzednich lat)</t>
  </si>
  <si>
    <t>17.5.</t>
  </si>
  <si>
    <t>Relacja, o której mowa w art. 243 ust. 1 ustawy  z 27 sierpnia 2009 r. w %  (bez wyłączeń i kwoty długu związku)</t>
  </si>
  <si>
    <t>Relacja, o której mowa w art. 243 ust.1 ustawy z 27 sierpnia 2009  r. o finansach publicznych po wyłączeniach (bez długu związku)</t>
  </si>
  <si>
    <t xml:space="preserve">Planowane dochody, wydatki, przychody i rozchody </t>
  </si>
  <si>
    <t xml:space="preserve">18. </t>
  </si>
  <si>
    <t>19.</t>
  </si>
  <si>
    <t>Wydatki ogółem</t>
  </si>
  <si>
    <t>w tym:  przedsięwzięcia ogółem (sprawdzenie zgodności z kwotami z załącznika nr 2)</t>
  </si>
  <si>
    <t>20.</t>
  </si>
  <si>
    <t>Wynik budżetu (nadwyżka + / deficyt -)</t>
  </si>
  <si>
    <t>21.</t>
  </si>
  <si>
    <t>Przychody ogółem</t>
  </si>
  <si>
    <t>22.</t>
  </si>
  <si>
    <t>Rozchody ogółem</t>
  </si>
  <si>
    <t xml:space="preserve">suma kontrolna </t>
  </si>
  <si>
    <t>Równowaga budżetowa (sprawdzenie: wykonanie D-W+P-R ≥0; prognoza  D-W+P-R=0 )</t>
  </si>
  <si>
    <r>
      <t>Kwota obliczona zgodnie z art. 242 ust. 1 ufp (dochody bieżące - wydatki bieżące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</si>
  <si>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 xml:space="preserve">PRZEDSIĘWZIĘCIA REALIZOWANE W LATACH 2012 - 2023 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</si>
  <si>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</si>
  <si>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</si>
  <si>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</si>
  <si>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</si>
  <si>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</si>
  <si>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2012 rok</t>
  </si>
  <si>
    <t>od</t>
  </si>
  <si>
    <t>do</t>
  </si>
  <si>
    <t>Wieloletnie programy, projekty lub zadania razem, z tego:</t>
  </si>
  <si>
    <t>- wydatki bieżące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</si>
  <si>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</si>
  <si>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</si>
  <si>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</si>
  <si>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</si>
  <si>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</si>
  <si>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</si>
  <si>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Program Operacyjny Kapitał Ludzki</t>
  </si>
  <si>
    <t>Ośrodek Pomocy Społecznej</t>
  </si>
  <si>
    <t>- wydatki majątkowe</t>
  </si>
  <si>
    <t>2)</t>
  </si>
  <si>
    <t>Regionalny Program Operacyjny (RPO)</t>
  </si>
  <si>
    <t>Urząd Miejski</t>
  </si>
  <si>
    <t>3)</t>
  </si>
  <si>
    <t>Program Rozwoju Obszarów Wiejskich na lata 2007-2013.</t>
  </si>
  <si>
    <t>4)</t>
  </si>
  <si>
    <t>Programu „Europejskiej Współpracy Terytorialnej” – „Współpraca Transgraniczna” Krajów Meklemburgia – Pomorze Przednie/ Brandenburgia i Rzeczpospolitej Polskiej (Województwo Zachodniopomorskie) 2007 – 2013.</t>
  </si>
  <si>
    <t>Program Operacyjny Infrastruktura i Środowisko „Termomodernizacja obiektów użyteczności publicznej Powiatu Myśliborskiego: Termomodernizacja Szkoły Podstawowej Nr 1 i  Gimnazjum Publicznego Nr 1”</t>
  </si>
  <si>
    <t>b)</t>
  </si>
  <si>
    <t>wieloletnie programy, projekty lub zadania związane z umowami partnerstwa publiczno-prywatnego - razem, z tego:</t>
  </si>
  <si>
    <t>program (nazwa …. + wyszczególnienie wydatków na jego realizację)</t>
  </si>
  <si>
    <t>c)</t>
  </si>
  <si>
    <t>wieloletnie pozostałe programy, projekty lub zadania - razem, z tego: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</si>
  <si>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</si>
  <si>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</si>
  <si>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 xml:space="preserve">- wydatki bieżące </t>
  </si>
  <si>
    <t>e)</t>
  </si>
  <si>
    <t>wieloletnie gwarancje i poręczenia udzielane przez j.s.t. - razem - wydatki bieżące, z tego:</t>
  </si>
  <si>
    <t xml:space="preserve">PRZEDSIĘWZIĘCIA REALIZOWANE W LATACH 2012 – 2023 </t>
  </si>
  <si>
    <t>Program Operacyjny Kapitał Ludzki (OPS)</t>
  </si>
  <si>
    <t>2.1)</t>
  </si>
  <si>
    <t>Przebudowa nawierzchni ulic i chodników wraz zagospodarowaniem terenów na terenie starego miasta</t>
  </si>
  <si>
    <t>2.2)</t>
  </si>
  <si>
    <t>Zagospodarowanie Parku w Delcie Młynówki.</t>
  </si>
  <si>
    <t>2.3)</t>
  </si>
  <si>
    <t>Przebudowa ulic Żabiej i Podwale wraz z budową parkingów i zagospodarowaniem terenu.</t>
  </si>
  <si>
    <t>2.4)</t>
  </si>
  <si>
    <t>Przebudowa ulicy Łokietka.</t>
  </si>
  <si>
    <t>2.5)</t>
  </si>
  <si>
    <t>Modernizacja (termomodernizacja) Przedszkola Miejskiego Nr 2 w Barlinku oraz zagospodarowanie terenu.</t>
  </si>
  <si>
    <t>2.6)</t>
  </si>
  <si>
    <t>Modernizacja (termomodernizacja) Ośrodka Pomocy Społecznej.</t>
  </si>
  <si>
    <t>2.7)</t>
  </si>
  <si>
    <t>Przebudowa ulicy Flukowskiego.</t>
  </si>
  <si>
    <t>2.8)</t>
  </si>
  <si>
    <t>Przebudowa obiektu przy ul. Gorzowskiej na Bibliotekę Publiczną w Barlinku</t>
  </si>
  <si>
    <t>2.9)</t>
  </si>
  <si>
    <t>Kraina lasów i jezior - promocja Gminy Barlinek</t>
  </si>
  <si>
    <t>2.10)</t>
  </si>
  <si>
    <t>Budowa małej infrastruktury służącej zabezpieczeniu obszarów  chronionych Natura 2000: Puszcza Barlinecka, Ostoja Barlinecka, Dolina Płoni i Jezioro Miedwie</t>
  </si>
  <si>
    <t>2.11)</t>
  </si>
  <si>
    <t>Budowy obiektu szatni sportowej we wsi Płonno</t>
  </si>
  <si>
    <t>2.12)</t>
  </si>
  <si>
    <t>Budowy obiektu szatniowo – świetlicowego  we wsi  Strąpie</t>
  </si>
  <si>
    <t>2.13)</t>
  </si>
  <si>
    <t>Budowy obiektu szatniowo – świetlicowego  we wsi Stara Dziedzina</t>
  </si>
  <si>
    <t>3.1)</t>
  </si>
  <si>
    <t>Poprawa zagospodarowania infrastruktury sportowej wsi Mostkowo w gminie Barlinek.</t>
  </si>
  <si>
    <t>3.2)</t>
  </si>
  <si>
    <t>Rozbudowa oraz zmiana sposobu użytkowania budynku usługowego na świetlicę wiejską wraz z jej wyposażeniem i zagospodarowaniem terenu w miejscowości Dzikowo, gmina Barlinek.</t>
  </si>
  <si>
    <t>3.3)</t>
  </si>
  <si>
    <t>Rozbudowa obiektu budowlanego na świetlice wiejską wraz z wyposażeniem i zagospodarowaniem terenu w miejscowości Równo, gmina Barlinek</t>
  </si>
  <si>
    <t>3.4)</t>
  </si>
  <si>
    <t>Zagospodarowanie terenów parkowych w miejscowości Dzikowo i Mostkowo, gmina Barlinek.</t>
  </si>
  <si>
    <t>Programu „Europejskiej Współpracy Terytorialnej” – „Współpraca Transgraniczna” Krajów Meklemburgia – Pomorze Przednie/ Brandenburgia i Rzeczpospolitej Polskiej (Województwo Zachodniopomorskie) 2007 – 2013 „Rozwój infrastruktury sportowej Prenzlau-Barlinek (przebudowa boiska treningowego wraz z zapleczem socjalno-technicznym w Barlinku”</t>
  </si>
  <si>
    <r>
      <t>Uzbrojenie terenów na Osiedlu Górny Taras (</t>
    </r>
    <r>
      <rPr>
        <sz val="22"/>
        <color indexed="8"/>
        <rFont val="Times New Roman"/>
        <family val="1"/>
      </rPr>
      <t>Budowa sieci kanalizacyjnej na osiedlu Górny Taras)</t>
    </r>
  </si>
  <si>
    <t>Rekultywacja nieczynnych składowisk odpadów w miejscowościach Rychnów i Strąpie</t>
  </si>
  <si>
    <t>Budowa budynku komunalnego przez BTBS partycypacja w kosztach</t>
  </si>
  <si>
    <t>Modernizacja strażnicy OSP w Barlinku na potrzeby Gminnego Centrum Ratownictwa.</t>
  </si>
  <si>
    <t>5)</t>
  </si>
  <si>
    <t>Budowa ulicy Wiśniowej</t>
  </si>
  <si>
    <t>6)</t>
  </si>
  <si>
    <t>Adaptacja budynku usługowo – mieszkalnego na cele administracyjne -Urząd Miejski.</t>
  </si>
  <si>
    <t>7)</t>
  </si>
  <si>
    <t>Modernizacja wodociągu w Lutówku</t>
  </si>
  <si>
    <t>8)</t>
  </si>
  <si>
    <t>Zaopatrzenie w wodę mieszkańców m. Okunie gm. Barlinek</t>
  </si>
  <si>
    <t>9)</t>
  </si>
  <si>
    <t>Modernizacja boiska do piłki nożnej przy ul. Strzeleckiej.</t>
  </si>
  <si>
    <t>10)</t>
  </si>
  <si>
    <t>Budowa obejścia m. Barlinek w ciągu drogi nr 151</t>
  </si>
  <si>
    <t>11)</t>
  </si>
  <si>
    <t>Przebudowa świetlicy wiejskiej w Żydowie</t>
  </si>
  <si>
    <t>Umowa na utrzymanie cmentarzy - razem, w tym:</t>
  </si>
  <si>
    <t>Umowa oczyszczanie miasta - razem, w tym:</t>
  </si>
  <si>
    <t>Umowa utrzymanie zieleni w miastach i gminach - razem, w tym:</t>
  </si>
  <si>
    <t>Umowa konserwację oświetlenia - razem, w tym:</t>
  </si>
  <si>
    <t>Umowa utrzymanie kanalizacji deszczowej - razem, w tym:</t>
  </si>
  <si>
    <t>Umowa o nadzór autorski programu LEX - razem, w tym:</t>
  </si>
  <si>
    <t>Umowa na konserwację oraz remont monitoringu miejskiego , w tym:</t>
  </si>
  <si>
    <t>Przedsiębiorstwo Wodociągowo Kanalizacyjne Płonia-”Przebudowa ujęcia wody wraz z budową nowej stacji uzdatniania wody w m. Nowa Dziedzina”</t>
  </si>
  <si>
    <t xml:space="preserve">Barlinecki Ośrodek Kultury </t>
  </si>
  <si>
    <t>Umowa (nazwa + wyszczególnienie wydatków na program) …. - 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</si>
</sst>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"/>
    <numFmt numFmtId="168" formatCode="0.00%"/>
    <numFmt numFmtId="169" formatCode="#,##0.00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9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8"/>
      <name val="Times New Roman"/>
      <family val="1"/>
    </font>
    <font>
      <i/>
      <sz val="14"/>
      <name val="Times New Roman"/>
      <family val="1"/>
    </font>
    <font>
      <b/>
      <i/>
      <sz val="9"/>
      <name val="Czcionka tekstu podstawowego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2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45">
    <xf numFmtId="164" fontId="0" fillId="0" borderId="0" xfId="0" applyAlignment="1">
      <alignment/>
    </xf>
    <xf numFmtId="164" fontId="3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center" vertical="center" wrapText="1"/>
      <protection/>
    </xf>
    <xf numFmtId="165" fontId="6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 applyProtection="1">
      <alignment horizontal="center" vertical="center" wrapText="1"/>
      <protection/>
    </xf>
    <xf numFmtId="164" fontId="9" fillId="0" borderId="1" xfId="0" applyFont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 applyProtection="1">
      <alignment vertical="center" wrapText="1"/>
      <protection/>
    </xf>
    <xf numFmtId="166" fontId="10" fillId="2" borderId="1" xfId="0" applyNumberFormat="1" applyFont="1" applyFill="1" applyBorder="1" applyAlignment="1" applyProtection="1">
      <alignment horizontal="center" vertical="center" wrapText="1"/>
      <protection/>
    </xf>
    <xf numFmtId="167" fontId="11" fillId="2" borderId="1" xfId="0" applyNumberFormat="1" applyFont="1" applyFill="1" applyBorder="1" applyAlignment="1" applyProtection="1">
      <alignment horizontal="center" vertical="center" wrapText="1"/>
      <protection/>
    </xf>
    <xf numFmtId="166" fontId="11" fillId="2" borderId="1" xfId="0" applyNumberFormat="1" applyFont="1" applyFill="1" applyBorder="1" applyAlignment="1" applyProtection="1">
      <alignment horizontal="center" vertical="center" wrapText="1"/>
      <protection/>
    </xf>
    <xf numFmtId="164" fontId="12" fillId="2" borderId="0" xfId="0" applyFont="1" applyFill="1" applyAlignment="1" applyProtection="1">
      <alignment vertical="center" wrapText="1"/>
      <protection/>
    </xf>
    <xf numFmtId="164" fontId="13" fillId="0" borderId="1" xfId="0" applyFont="1" applyBorder="1" applyAlignment="1" applyProtection="1">
      <alignment horizontal="center" vertical="center" wrapText="1"/>
      <protection/>
    </xf>
    <xf numFmtId="164" fontId="13" fillId="0" borderId="1" xfId="0" applyFont="1" applyBorder="1" applyAlignment="1" applyProtection="1">
      <alignment vertical="center" wrapText="1"/>
      <protection/>
    </xf>
    <xf numFmtId="166" fontId="14" fillId="0" borderId="1" xfId="20" applyNumberFormat="1" applyFont="1" applyBorder="1" applyAlignment="1">
      <alignment horizontal="center" vertical="center"/>
      <protection/>
    </xf>
    <xf numFmtId="167" fontId="15" fillId="2" borderId="1" xfId="0" applyNumberFormat="1" applyFont="1" applyFill="1" applyBorder="1" applyAlignment="1" applyProtection="1">
      <alignment horizontal="center" vertical="center" wrapText="1"/>
      <protection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Font="1" applyAlignment="1" applyProtection="1">
      <alignment vertical="center" wrapText="1"/>
      <protection/>
    </xf>
    <xf numFmtId="166" fontId="14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 wrapText="1"/>
      <protection/>
    </xf>
    <xf numFmtId="166" fontId="15" fillId="0" borderId="1" xfId="0" applyNumberFormat="1" applyFont="1" applyBorder="1" applyAlignment="1" applyProtection="1">
      <alignment horizontal="center" vertical="center" wrapText="1"/>
      <protection/>
    </xf>
    <xf numFmtId="164" fontId="13" fillId="0" borderId="1" xfId="0" applyFont="1" applyBorder="1" applyAlignment="1">
      <alignment/>
    </xf>
    <xf numFmtId="164" fontId="15" fillId="0" borderId="1" xfId="0" applyFont="1" applyBorder="1" applyAlignment="1" applyProtection="1">
      <alignment horizontal="right" vertical="center" wrapText="1"/>
      <protection/>
    </xf>
    <xf numFmtId="164" fontId="16" fillId="0" borderId="0" xfId="0" applyFont="1" applyAlignment="1" applyProtection="1">
      <alignment vertical="center" wrapText="1"/>
      <protection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3" borderId="1" xfId="0" applyFont="1" applyFill="1" applyBorder="1" applyAlignment="1" applyProtection="1">
      <alignment horizontal="center" vertical="center" textRotation="90" wrapText="1"/>
      <protection/>
    </xf>
    <xf numFmtId="164" fontId="18" fillId="3" borderId="1" xfId="0" applyFont="1" applyFill="1" applyBorder="1" applyAlignment="1" applyProtection="1">
      <alignment horizontal="right" vertical="center" wrapText="1"/>
      <protection/>
    </xf>
    <xf numFmtId="166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Alignment="1" applyProtection="1">
      <alignment vertical="center" wrapText="1"/>
      <protection/>
    </xf>
    <xf numFmtId="164" fontId="15" fillId="0" borderId="0" xfId="0" applyFont="1" applyAlignment="1">
      <alignment/>
    </xf>
    <xf numFmtId="166" fontId="22" fillId="0" borderId="1" xfId="0" applyNumberFormat="1" applyFont="1" applyBorder="1" applyAlignment="1">
      <alignment horizontal="center" vertical="center"/>
    </xf>
    <xf numFmtId="164" fontId="11" fillId="3" borderId="1" xfId="0" applyFont="1" applyFill="1" applyBorder="1" applyAlignment="1" applyProtection="1">
      <alignment horizontal="right" vertical="center" wrapText="1"/>
      <protection/>
    </xf>
    <xf numFmtId="166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/>
    </xf>
    <xf numFmtId="164" fontId="10" fillId="0" borderId="1" xfId="0" applyFont="1" applyBorder="1" applyAlignment="1" applyProtection="1">
      <alignment vertical="center" wrapText="1"/>
      <protection/>
    </xf>
    <xf numFmtId="166" fontId="10" fillId="0" borderId="1" xfId="0" applyNumberFormat="1" applyFont="1" applyBorder="1" applyAlignment="1" applyProtection="1">
      <alignment horizontal="center" vertical="center" wrapText="1"/>
      <protection/>
    </xf>
    <xf numFmtId="166" fontId="11" fillId="0" borderId="1" xfId="0" applyNumberFormat="1" applyFont="1" applyBorder="1" applyAlignment="1" applyProtection="1">
      <alignment horizontal="center" vertical="center" wrapText="1"/>
      <protection/>
    </xf>
    <xf numFmtId="166" fontId="12" fillId="0" borderId="0" xfId="0" applyNumberFormat="1" applyFont="1" applyAlignment="1" applyProtection="1">
      <alignment vertical="center" wrapText="1"/>
      <protection/>
    </xf>
    <xf numFmtId="164" fontId="12" fillId="0" borderId="0" xfId="0" applyFont="1" applyAlignment="1" applyProtection="1">
      <alignment vertical="center" wrapText="1"/>
      <protection/>
    </xf>
    <xf numFmtId="166" fontId="3" fillId="0" borderId="0" xfId="0" applyNumberFormat="1" applyFont="1" applyAlignment="1" applyProtection="1">
      <alignment vertical="center" wrapText="1"/>
      <protection/>
    </xf>
    <xf numFmtId="164" fontId="24" fillId="0" borderId="1" xfId="0" applyFont="1" applyBorder="1" applyAlignment="1" applyProtection="1">
      <alignment horizontal="right" vertical="center" wrapText="1"/>
      <protection/>
    </xf>
    <xf numFmtId="166" fontId="25" fillId="0" borderId="1" xfId="0" applyNumberFormat="1" applyFont="1" applyBorder="1" applyAlignment="1" applyProtection="1">
      <alignment horizontal="right" vertical="center" wrapText="1"/>
      <protection/>
    </xf>
    <xf numFmtId="166" fontId="24" fillId="0" borderId="1" xfId="0" applyNumberFormat="1" applyFont="1" applyBorder="1" applyAlignment="1" applyProtection="1">
      <alignment horizontal="right" vertical="center" wrapText="1"/>
      <protection/>
    </xf>
    <xf numFmtId="166" fontId="25" fillId="0" borderId="1" xfId="0" applyNumberFormat="1" applyFont="1" applyBorder="1" applyAlignment="1" applyProtection="1">
      <alignment vertical="center" wrapText="1"/>
      <protection/>
    </xf>
    <xf numFmtId="166" fontId="26" fillId="0" borderId="0" xfId="0" applyNumberFormat="1" applyFont="1" applyAlignment="1" applyProtection="1">
      <alignment vertical="center" wrapText="1"/>
      <protection/>
    </xf>
    <xf numFmtId="164" fontId="26" fillId="0" borderId="0" xfId="0" applyFont="1" applyAlignment="1" applyProtection="1">
      <alignment vertical="center" wrapText="1"/>
      <protection/>
    </xf>
    <xf numFmtId="166" fontId="14" fillId="0" borderId="1" xfId="20" applyNumberFormat="1" applyFont="1" applyFill="1" applyBorder="1" applyAlignment="1">
      <alignment horizontal="center" vertical="center"/>
      <protection/>
    </xf>
    <xf numFmtId="166" fontId="22" fillId="0" borderId="1" xfId="20" applyNumberFormat="1" applyFont="1" applyFill="1" applyBorder="1" applyAlignment="1">
      <alignment horizontal="center" vertical="center"/>
      <protection/>
    </xf>
    <xf numFmtId="166" fontId="14" fillId="0" borderId="1" xfId="0" applyNumberFormat="1" applyFont="1" applyFill="1" applyBorder="1" applyAlignment="1">
      <alignment horizontal="center" vertical="center"/>
    </xf>
    <xf numFmtId="166" fontId="25" fillId="0" borderId="1" xfId="0" applyNumberFormat="1" applyFont="1" applyBorder="1" applyAlignment="1" applyProtection="1">
      <alignment horizontal="center" vertical="center" wrapText="1"/>
      <protection/>
    </xf>
    <xf numFmtId="166" fontId="24" fillId="0" borderId="1" xfId="0" applyNumberFormat="1" applyFont="1" applyBorder="1" applyAlignment="1" applyProtection="1">
      <alignment horizontal="center" vertical="center" wrapText="1"/>
      <protection/>
    </xf>
    <xf numFmtId="166" fontId="10" fillId="0" borderId="1" xfId="0" applyNumberFormat="1" applyFont="1" applyBorder="1" applyAlignment="1" applyProtection="1">
      <alignment vertical="center" wrapText="1"/>
      <protection/>
    </xf>
    <xf numFmtId="166" fontId="26" fillId="0" borderId="0" xfId="0" applyNumberFormat="1" applyFont="1" applyAlignment="1" applyProtection="1">
      <alignment horizontal="center" vertical="center" wrapText="1"/>
      <protection/>
    </xf>
    <xf numFmtId="164" fontId="10" fillId="3" borderId="1" xfId="0" applyFont="1" applyFill="1" applyBorder="1" applyAlignment="1" applyProtection="1">
      <alignment horizontal="center" vertical="center" textRotation="90" wrapText="1"/>
      <protection/>
    </xf>
    <xf numFmtId="166" fontId="17" fillId="3" borderId="1" xfId="0" applyNumberFormat="1" applyFont="1" applyFill="1" applyBorder="1" applyAlignment="1" applyProtection="1">
      <alignment horizontal="center" vertical="center" wrapText="1"/>
      <protection/>
    </xf>
    <xf numFmtId="166" fontId="18" fillId="3" borderId="1" xfId="0" applyNumberFormat="1" applyFont="1" applyFill="1" applyBorder="1" applyAlignment="1" applyProtection="1">
      <alignment horizontal="center" vertical="center" wrapText="1"/>
      <protection/>
    </xf>
    <xf numFmtId="166" fontId="12" fillId="2" borderId="0" xfId="0" applyNumberFormat="1" applyFont="1" applyFill="1" applyAlignment="1" applyProtection="1">
      <alignment vertical="center" wrapText="1"/>
      <protection/>
    </xf>
    <xf numFmtId="166" fontId="13" fillId="0" borderId="1" xfId="0" applyNumberFormat="1" applyFont="1" applyBorder="1" applyAlignment="1" applyProtection="1">
      <alignment vertical="center" wrapText="1"/>
      <protection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vertical="center" wrapText="1"/>
      <protection/>
    </xf>
    <xf numFmtId="164" fontId="25" fillId="0" borderId="1" xfId="0" applyFont="1" applyBorder="1" applyAlignment="1" applyProtection="1">
      <alignment horizontal="center" vertical="center" wrapText="1"/>
      <protection/>
    </xf>
    <xf numFmtId="167" fontId="11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center" vertical="center" wrapText="1"/>
    </xf>
    <xf numFmtId="166" fontId="12" fillId="0" borderId="0" xfId="0" applyNumberFormat="1" applyFont="1" applyAlignment="1" applyProtection="1">
      <alignment horizontal="center" vertical="center" wrapText="1"/>
      <protection/>
    </xf>
    <xf numFmtId="164" fontId="12" fillId="0" borderId="0" xfId="0" applyFont="1" applyAlignment="1" applyProtection="1">
      <alignment horizontal="center" vertical="center" wrapText="1"/>
      <protection/>
    </xf>
    <xf numFmtId="164" fontId="11" fillId="0" borderId="1" xfId="0" applyFont="1" applyBorder="1" applyAlignment="1" applyProtection="1">
      <alignment horizontal="center" vertical="center" wrapText="1"/>
      <protection/>
    </xf>
    <xf numFmtId="164" fontId="15" fillId="0" borderId="1" xfId="0" applyFont="1" applyBorder="1" applyAlignment="1" applyProtection="1">
      <alignment horizontal="center" vertical="center" wrapText="1"/>
      <protection/>
    </xf>
    <xf numFmtId="166" fontId="3" fillId="0" borderId="0" xfId="0" applyNumberFormat="1" applyFont="1" applyAlignment="1" applyProtection="1">
      <alignment horizontal="center" vertical="center" wrapText="1"/>
      <protection/>
    </xf>
    <xf numFmtId="16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left" vertical="center" wrapText="1"/>
      <protection/>
    </xf>
    <xf numFmtId="166" fontId="13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8" fontId="13" fillId="0" borderId="1" xfId="0" applyNumberFormat="1" applyFont="1" applyBorder="1" applyAlignment="1" applyProtection="1">
      <alignment horizontal="center" vertical="center" wrapText="1"/>
      <protection/>
    </xf>
    <xf numFmtId="168" fontId="15" fillId="0" borderId="1" xfId="0" applyNumberFormat="1" applyFont="1" applyBorder="1" applyAlignment="1" applyProtection="1">
      <alignment horizontal="center" vertical="center" wrapText="1"/>
      <protection/>
    </xf>
    <xf numFmtId="168" fontId="25" fillId="0" borderId="1" xfId="0" applyNumberFormat="1" applyFont="1" applyBorder="1" applyAlignment="1" applyProtection="1">
      <alignment horizontal="center" vertical="center" wrapText="1"/>
      <protection/>
    </xf>
    <xf numFmtId="168" fontId="24" fillId="0" borderId="1" xfId="0" applyNumberFormat="1" applyFont="1" applyBorder="1" applyAlignment="1" applyProtection="1">
      <alignment horizontal="center" vertical="center" wrapText="1"/>
      <protection/>
    </xf>
    <xf numFmtId="166" fontId="25" fillId="2" borderId="1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Alignment="1" applyProtection="1">
      <alignment horizontal="center" vertical="center" wrapText="1"/>
      <protection/>
    </xf>
    <xf numFmtId="164" fontId="6" fillId="0" borderId="0" xfId="0" applyFont="1" applyAlignment="1" applyProtection="1">
      <alignment horizontal="center" vertical="center" wrapText="1"/>
      <protection/>
    </xf>
    <xf numFmtId="166" fontId="10" fillId="3" borderId="1" xfId="0" applyNumberFormat="1" applyFont="1" applyFill="1" applyBorder="1" applyAlignment="1" applyProtection="1">
      <alignment horizontal="center" vertical="center" wrapText="1"/>
      <protection/>
    </xf>
    <xf numFmtId="166" fontId="11" fillId="3" borderId="1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wrapText="1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29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31" fillId="0" borderId="0" xfId="0" applyFont="1" applyBorder="1" applyAlignment="1" applyProtection="1">
      <alignment horizontal="center" vertical="center" wrapText="1"/>
      <protection locked="0"/>
    </xf>
    <xf numFmtId="164" fontId="32" fillId="0" borderId="0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3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35" fillId="0" borderId="1" xfId="0" applyNumberFormat="1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6" fillId="0" borderId="2" xfId="0" applyFont="1" applyBorder="1" applyAlignment="1">
      <alignment wrapText="1"/>
    </xf>
    <xf numFmtId="164" fontId="36" fillId="0" borderId="1" xfId="0" applyFont="1" applyBorder="1" applyAlignment="1">
      <alignment wrapText="1"/>
    </xf>
    <xf numFmtId="167" fontId="37" fillId="0" borderId="1" xfId="0" applyNumberFormat="1" applyFont="1" applyBorder="1" applyAlignment="1">
      <alignment wrapText="1"/>
    </xf>
    <xf numFmtId="164" fontId="37" fillId="0" borderId="1" xfId="0" applyFont="1" applyBorder="1" applyAlignment="1">
      <alignment wrapText="1"/>
    </xf>
    <xf numFmtId="166" fontId="36" fillId="0" borderId="1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wrapText="1"/>
    </xf>
    <xf numFmtId="164" fontId="36" fillId="0" borderId="3" xfId="0" applyFont="1" applyBorder="1" applyAlignment="1">
      <alignment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4" fontId="32" fillId="0" borderId="0" xfId="0" applyFont="1" applyAlignment="1">
      <alignment wrapText="1"/>
    </xf>
    <xf numFmtId="164" fontId="4" fillId="0" borderId="1" xfId="0" applyFont="1" applyBorder="1" applyAlignment="1" applyProtection="1">
      <alignment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/>
    </xf>
    <xf numFmtId="166" fontId="35" fillId="0" borderId="1" xfId="0" applyNumberFormat="1" applyFont="1" applyBorder="1" applyAlignment="1" applyProtection="1">
      <alignment horizontal="center" vertical="center" wrapText="1"/>
      <protection/>
    </xf>
    <xf numFmtId="166" fontId="32" fillId="0" borderId="0" xfId="0" applyNumberFormat="1" applyFont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vertical="center" wrapText="1"/>
    </xf>
    <xf numFmtId="164" fontId="36" fillId="0" borderId="1" xfId="0" applyFont="1" applyBorder="1" applyAlignment="1">
      <alignment vertical="center" wrapText="1"/>
    </xf>
    <xf numFmtId="164" fontId="36" fillId="0" borderId="1" xfId="0" applyFont="1" applyBorder="1" applyAlignment="1" applyProtection="1">
      <alignment horizontal="center" vertical="center" wrapText="1"/>
      <protection locked="0"/>
    </xf>
    <xf numFmtId="166" fontId="36" fillId="0" borderId="1" xfId="0" applyNumberFormat="1" applyFont="1" applyBorder="1" applyAlignment="1" applyProtection="1">
      <alignment horizontal="center" vertical="center" wrapText="1"/>
      <protection locked="0"/>
    </xf>
    <xf numFmtId="167" fontId="37" fillId="0" borderId="1" xfId="0" applyNumberFormat="1" applyFont="1" applyBorder="1" applyAlignment="1" applyProtection="1">
      <alignment horizontal="center" vertical="center" wrapText="1"/>
      <protection locked="0"/>
    </xf>
    <xf numFmtId="166" fontId="37" fillId="0" borderId="1" xfId="0" applyNumberFormat="1" applyFont="1" applyBorder="1" applyAlignment="1" applyProtection="1">
      <alignment horizontal="center" vertical="center" wrapText="1"/>
      <protection locked="0"/>
    </xf>
    <xf numFmtId="166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36" fillId="0" borderId="1" xfId="0" applyFont="1" applyBorder="1" applyAlignment="1" applyProtection="1">
      <alignment vertical="top" wrapText="1"/>
      <protection locked="0"/>
    </xf>
    <xf numFmtId="167" fontId="35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top" wrapText="1"/>
      <protection locked="0"/>
    </xf>
    <xf numFmtId="164" fontId="4" fillId="0" borderId="1" xfId="0" applyFont="1" applyBorder="1" applyAlignment="1" applyProtection="1">
      <alignment horizontal="center" wrapText="1"/>
      <protection locked="0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 applyProtection="1">
      <alignment horizontal="center"/>
      <protection locked="0"/>
    </xf>
    <xf numFmtId="164" fontId="29" fillId="0" borderId="0" xfId="0" applyFont="1" applyAlignment="1">
      <alignment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/>
    </xf>
    <xf numFmtId="164" fontId="36" fillId="0" borderId="1" xfId="0" applyFont="1" applyBorder="1" applyAlignment="1">
      <alignment horizontal="center" vertical="center" wrapText="1"/>
    </xf>
    <xf numFmtId="166" fontId="36" fillId="0" borderId="1" xfId="0" applyNumberFormat="1" applyFont="1" applyBorder="1" applyAlignment="1" applyProtection="1">
      <alignment horizontal="center" vertical="center" wrapText="1"/>
      <protection/>
    </xf>
    <xf numFmtId="166" fontId="29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>
      <alignment/>
    </xf>
    <xf numFmtId="166" fontId="29" fillId="0" borderId="0" xfId="0" applyNumberFormat="1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center"/>
    </xf>
    <xf numFmtId="166" fontId="30" fillId="0" borderId="0" xfId="0" applyNumberFormat="1" applyFont="1" applyAlignment="1">
      <alignment horizontal="center"/>
    </xf>
    <xf numFmtId="169" fontId="30" fillId="0" borderId="0" xfId="0" applyNumberFormat="1" applyFont="1" applyAlignment="1">
      <alignment horizontal="center"/>
    </xf>
    <xf numFmtId="164" fontId="38" fillId="0" borderId="0" xfId="0" applyFont="1" applyBorder="1" applyAlignment="1" applyProtection="1">
      <alignment horizontal="center" vertical="center" wrapText="1"/>
      <protection locked="0"/>
    </xf>
    <xf numFmtId="164" fontId="38" fillId="0" borderId="0" xfId="0" applyFont="1" applyBorder="1" applyAlignment="1" applyProtection="1">
      <alignment horizontal="center" vertical="center"/>
      <protection locked="0"/>
    </xf>
    <xf numFmtId="164" fontId="39" fillId="0" borderId="0" xfId="0" applyFont="1" applyAlignment="1">
      <alignment/>
    </xf>
    <xf numFmtId="164" fontId="31" fillId="0" borderId="1" xfId="0" applyFont="1" applyBorder="1" applyAlignment="1" applyProtection="1">
      <alignment horizontal="center" vertical="center" wrapText="1"/>
      <protection locked="0"/>
    </xf>
    <xf numFmtId="164" fontId="31" fillId="0" borderId="1" xfId="0" applyFont="1" applyBorder="1" applyAlignment="1">
      <alignment horizontal="center" vertical="center" wrapText="1"/>
    </xf>
    <xf numFmtId="164" fontId="40" fillId="0" borderId="0" xfId="0" applyFont="1" applyBorder="1" applyAlignment="1" applyProtection="1">
      <alignment horizontal="center" vertical="center"/>
      <protection locked="0"/>
    </xf>
    <xf numFmtId="164" fontId="41" fillId="0" borderId="0" xfId="0" applyFont="1" applyAlignment="1">
      <alignment vertical="center"/>
    </xf>
    <xf numFmtId="164" fontId="31" fillId="0" borderId="0" xfId="0" applyFont="1" applyBorder="1" applyAlignment="1">
      <alignment horizontal="center" vertical="center"/>
    </xf>
    <xf numFmtId="164" fontId="40" fillId="0" borderId="0" xfId="0" applyFont="1" applyBorder="1" applyAlignment="1">
      <alignment horizontal="center" vertical="center" wrapText="1"/>
    </xf>
    <xf numFmtId="164" fontId="41" fillId="0" borderId="0" xfId="0" applyFont="1" applyAlignment="1">
      <alignment horizontal="center" vertical="center" wrapText="1"/>
    </xf>
    <xf numFmtId="164" fontId="42" fillId="0" borderId="1" xfId="0" applyFont="1" applyBorder="1" applyAlignment="1">
      <alignment horizontal="center" vertical="center" wrapText="1"/>
    </xf>
    <xf numFmtId="164" fontId="43" fillId="0" borderId="1" xfId="0" applyFont="1" applyBorder="1" applyAlignment="1">
      <alignment horizontal="center" vertical="center" wrapText="1"/>
    </xf>
    <xf numFmtId="169" fontId="43" fillId="0" borderId="1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31" fillId="0" borderId="1" xfId="0" applyFont="1" applyBorder="1" applyAlignment="1">
      <alignment horizontal="left" vertical="center" wrapText="1"/>
    </xf>
    <xf numFmtId="164" fontId="31" fillId="0" borderId="1" xfId="0" applyFont="1" applyBorder="1" applyAlignment="1">
      <alignment vertical="center" wrapText="1"/>
    </xf>
    <xf numFmtId="166" fontId="31" fillId="0" borderId="1" xfId="0" applyNumberFormat="1" applyFont="1" applyBorder="1" applyAlignment="1" applyProtection="1">
      <alignment horizontal="center" vertical="center" wrapText="1"/>
      <protection locked="0"/>
    </xf>
    <xf numFmtId="167" fontId="44" fillId="0" borderId="1" xfId="0" applyNumberFormat="1" applyFont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Border="1" applyAlignment="1">
      <alignment horizontal="center" vertical="center" wrapText="1"/>
    </xf>
    <xf numFmtId="169" fontId="44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42" fillId="0" borderId="1" xfId="0" applyFont="1" applyBorder="1" applyAlignment="1">
      <alignment vertical="center" wrapText="1"/>
    </xf>
    <xf numFmtId="169" fontId="43" fillId="0" borderId="1" xfId="0" applyNumberFormat="1" applyFont="1" applyBorder="1" applyAlignment="1">
      <alignment vertical="center" wrapText="1"/>
    </xf>
    <xf numFmtId="166" fontId="42" fillId="0" borderId="1" xfId="0" applyNumberFormat="1" applyFont="1" applyBorder="1" applyAlignment="1" applyProtection="1">
      <alignment horizontal="center" vertical="center" wrapText="1"/>
      <protection locked="0"/>
    </xf>
    <xf numFmtId="164" fontId="36" fillId="0" borderId="0" xfId="0" applyFont="1" applyBorder="1" applyAlignment="1">
      <alignment wrapText="1"/>
    </xf>
    <xf numFmtId="164" fontId="36" fillId="0" borderId="0" xfId="0" applyFont="1" applyAlignment="1">
      <alignment wrapText="1"/>
    </xf>
    <xf numFmtId="164" fontId="42" fillId="0" borderId="2" xfId="0" applyFont="1" applyBorder="1" applyAlignment="1">
      <alignment vertical="center" wrapText="1"/>
    </xf>
    <xf numFmtId="164" fontId="31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4" fontId="42" fillId="0" borderId="3" xfId="0" applyFont="1" applyBorder="1" applyAlignment="1">
      <alignment vertical="center" wrapText="1"/>
    </xf>
    <xf numFmtId="164" fontId="31" fillId="0" borderId="3" xfId="0" applyFont="1" applyBorder="1" applyAlignment="1">
      <alignment horizontal="center" vertical="center" wrapText="1"/>
    </xf>
    <xf numFmtId="164" fontId="31" fillId="0" borderId="1" xfId="0" applyFont="1" applyBorder="1" applyAlignment="1" applyProtection="1">
      <alignment vertical="center" wrapText="1"/>
      <protection locked="0"/>
    </xf>
    <xf numFmtId="166" fontId="31" fillId="0" borderId="1" xfId="0" applyNumberFormat="1" applyFont="1" applyBorder="1" applyAlignment="1" applyProtection="1">
      <alignment horizontal="center" vertical="center" wrapText="1"/>
      <protection/>
    </xf>
    <xf numFmtId="169" fontId="44" fillId="0" borderId="1" xfId="0" applyNumberFormat="1" applyFont="1" applyBorder="1" applyAlignment="1" applyProtection="1">
      <alignment horizontal="center" vertical="center" wrapText="1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164" fontId="42" fillId="0" borderId="1" xfId="0" applyFont="1" applyBorder="1" applyAlignment="1" applyProtection="1">
      <alignment horizontal="center" vertical="center" wrapText="1"/>
      <protection locked="0"/>
    </xf>
    <xf numFmtId="167" fontId="43" fillId="0" borderId="1" xfId="0" applyNumberFormat="1" applyFont="1" applyBorder="1" applyAlignment="1" applyProtection="1">
      <alignment horizontal="center" vertical="center" wrapText="1"/>
      <protection locked="0"/>
    </xf>
    <xf numFmtId="169" fontId="43" fillId="0" borderId="1" xfId="0" applyNumberFormat="1" applyFont="1" applyBorder="1" applyAlignment="1" applyProtection="1">
      <alignment horizontal="center" vertical="center" wrapText="1"/>
      <protection locked="0"/>
    </xf>
    <xf numFmtId="166" fontId="36" fillId="0" borderId="0" xfId="0" applyNumberFormat="1" applyFont="1" applyBorder="1" applyAlignment="1" applyProtection="1">
      <alignment horizontal="center" vertical="center" wrapText="1"/>
      <protection locked="0"/>
    </xf>
    <xf numFmtId="164" fontId="36" fillId="0" borderId="0" xfId="0" applyFont="1" applyAlignment="1">
      <alignment vertical="center" wrapText="1"/>
    </xf>
    <xf numFmtId="166" fontId="42" fillId="0" borderId="1" xfId="0" applyNumberFormat="1" applyFont="1" applyBorder="1" applyAlignment="1" applyProtection="1">
      <alignment horizontal="center" vertical="center"/>
      <protection locked="0"/>
    </xf>
    <xf numFmtId="169" fontId="43" fillId="0" borderId="1" xfId="0" applyNumberFormat="1" applyFont="1" applyBorder="1" applyAlignment="1" applyProtection="1">
      <alignment horizontal="center" vertical="center"/>
      <protection locked="0"/>
    </xf>
    <xf numFmtId="164" fontId="42" fillId="0" borderId="1" xfId="0" applyFont="1" applyBorder="1" applyAlignment="1" applyProtection="1">
      <alignment vertical="center" wrapText="1"/>
      <protection locked="0"/>
    </xf>
    <xf numFmtId="164" fontId="31" fillId="0" borderId="1" xfId="0" applyFont="1" applyBorder="1" applyAlignment="1">
      <alignment horizontal="right" vertical="center" wrapText="1"/>
    </xf>
    <xf numFmtId="164" fontId="31" fillId="0" borderId="0" xfId="0" applyFont="1" applyAlignment="1">
      <alignment horizontal="justify" vertical="center"/>
    </xf>
    <xf numFmtId="166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Font="1" applyBorder="1" applyAlignment="1">
      <alignment horizontal="right" vertical="center" wrapText="1"/>
    </xf>
    <xf numFmtId="164" fontId="42" fillId="0" borderId="0" xfId="0" applyFont="1" applyAlignment="1">
      <alignment vertical="center"/>
    </xf>
    <xf numFmtId="166" fontId="44" fillId="0" borderId="1" xfId="0" applyNumberFormat="1" applyFont="1" applyBorder="1" applyAlignment="1" applyProtection="1">
      <alignment horizontal="center" vertical="center" wrapText="1"/>
      <protection locked="0"/>
    </xf>
    <xf numFmtId="164" fontId="31" fillId="0" borderId="0" xfId="0" applyFont="1" applyAlignment="1">
      <alignment vertical="center"/>
    </xf>
    <xf numFmtId="166" fontId="42" fillId="0" borderId="1" xfId="0" applyNumberFormat="1" applyFont="1" applyBorder="1" applyAlignment="1" applyProtection="1">
      <alignment horizontal="center" vertical="center" wrapText="1"/>
      <protection/>
    </xf>
    <xf numFmtId="169" fontId="43" fillId="0" borderId="1" xfId="0" applyNumberFormat="1" applyFont="1" applyBorder="1" applyAlignment="1" applyProtection="1">
      <alignment horizontal="center" vertical="center" wrapText="1"/>
      <protection/>
    </xf>
    <xf numFmtId="166" fontId="36" fillId="0" borderId="0" xfId="0" applyNumberFormat="1" applyFont="1" applyBorder="1" applyAlignment="1" applyProtection="1">
      <alignment horizontal="center" vertical="center" wrapText="1"/>
      <protection/>
    </xf>
    <xf numFmtId="164" fontId="31" fillId="0" borderId="4" xfId="0" applyFont="1" applyBorder="1" applyAlignment="1">
      <alignment horizontal="center" vertical="center" wrapText="1"/>
    </xf>
    <xf numFmtId="164" fontId="45" fillId="0" borderId="1" xfId="0" applyFont="1" applyBorder="1" applyAlignment="1" applyProtection="1">
      <alignment vertical="center" wrapText="1"/>
      <protection locked="0"/>
    </xf>
    <xf numFmtId="164" fontId="31" fillId="0" borderId="3" xfId="0" applyFont="1" applyBorder="1" applyAlignment="1">
      <alignment vertical="center" wrapText="1"/>
    </xf>
    <xf numFmtId="164" fontId="42" fillId="0" borderId="1" xfId="0" applyFont="1" applyBorder="1" applyAlignment="1">
      <alignment vertical="center"/>
    </xf>
    <xf numFmtId="164" fontId="31" fillId="0" borderId="0" xfId="0" applyFont="1" applyBorder="1" applyAlignment="1">
      <alignment horizontal="center" vertical="center" wrapText="1"/>
    </xf>
    <xf numFmtId="164" fontId="36" fillId="0" borderId="0" xfId="0" applyFont="1" applyAlignment="1">
      <alignment/>
    </xf>
    <xf numFmtId="164" fontId="36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/>
    </xf>
    <xf numFmtId="164" fontId="42" fillId="0" borderId="0" xfId="0" applyFont="1" applyBorder="1" applyAlignment="1">
      <alignment horizontal="center" vertical="center" wrapText="1"/>
    </xf>
    <xf numFmtId="164" fontId="31" fillId="0" borderId="1" xfId="0" applyFont="1" applyBorder="1" applyAlignment="1">
      <alignment horizontal="center" vertical="center"/>
    </xf>
    <xf numFmtId="167" fontId="31" fillId="0" borderId="1" xfId="0" applyNumberFormat="1" applyFont="1" applyBorder="1" applyAlignment="1" applyProtection="1">
      <alignment horizontal="center" vertical="center" wrapText="1"/>
      <protection locked="0"/>
    </xf>
    <xf numFmtId="169" fontId="31" fillId="0" borderId="1" xfId="0" applyNumberFormat="1" applyFont="1" applyBorder="1" applyAlignment="1" applyProtection="1">
      <alignment horizontal="center" vertical="center" wrapText="1"/>
      <protection/>
    </xf>
    <xf numFmtId="167" fontId="42" fillId="0" borderId="1" xfId="0" applyNumberFormat="1" applyFont="1" applyBorder="1" applyAlignment="1" applyProtection="1">
      <alignment horizontal="center" vertical="center" wrapText="1"/>
      <protection locked="0"/>
    </xf>
    <xf numFmtId="169" fontId="42" fillId="0" borderId="1" xfId="0" applyNumberFormat="1" applyFont="1" applyBorder="1" applyAlignment="1" applyProtection="1">
      <alignment horizontal="center" vertical="center" wrapText="1"/>
      <protection locked="0"/>
    </xf>
    <xf numFmtId="166" fontId="42" fillId="0" borderId="1" xfId="0" applyNumberFormat="1" applyFont="1" applyBorder="1" applyAlignment="1">
      <alignment horizontal="center" vertical="center" wrapText="1"/>
    </xf>
    <xf numFmtId="169" fontId="42" fillId="0" borderId="1" xfId="0" applyNumberFormat="1" applyFont="1" applyBorder="1" applyAlignment="1" applyProtection="1">
      <alignment horizontal="center" vertical="center"/>
      <protection locked="0"/>
    </xf>
    <xf numFmtId="164" fontId="42" fillId="0" borderId="4" xfId="0" applyFont="1" applyBorder="1" applyAlignment="1">
      <alignment vertical="center" wrapText="1"/>
    </xf>
    <xf numFmtId="164" fontId="42" fillId="0" borderId="1" xfId="0" applyFont="1" applyBorder="1" applyAlignment="1">
      <alignment horizontal="center" vertical="center"/>
    </xf>
    <xf numFmtId="166" fontId="36" fillId="0" borderId="0" xfId="0" applyNumberFormat="1" applyFont="1" applyBorder="1" applyAlignment="1" applyProtection="1">
      <alignment horizontal="center" vertical="top" wrapText="1"/>
      <protection locked="0"/>
    </xf>
    <xf numFmtId="164" fontId="36" fillId="0" borderId="0" xfId="0" applyFont="1" applyAlignment="1">
      <alignment vertical="top"/>
    </xf>
    <xf numFmtId="164" fontId="42" fillId="0" borderId="0" xfId="0" applyFont="1" applyAlignment="1">
      <alignment vertical="top"/>
    </xf>
    <xf numFmtId="164" fontId="46" fillId="0" borderId="1" xfId="0" applyFont="1" applyBorder="1" applyAlignment="1">
      <alignment wrapText="1"/>
    </xf>
    <xf numFmtId="164" fontId="31" fillId="0" borderId="1" xfId="0" applyFont="1" applyBorder="1" applyAlignment="1">
      <alignment horizontal="center" vertical="top" wrapText="1"/>
    </xf>
    <xf numFmtId="164" fontId="46" fillId="0" borderId="1" xfId="0" applyFont="1" applyBorder="1" applyAlignment="1">
      <alignment horizontal="center" vertical="top" wrapText="1"/>
    </xf>
    <xf numFmtId="164" fontId="46" fillId="0" borderId="1" xfId="0" applyFont="1" applyBorder="1" applyAlignment="1" applyProtection="1">
      <alignment vertical="center" wrapText="1"/>
      <protection locked="0"/>
    </xf>
    <xf numFmtId="164" fontId="46" fillId="0" borderId="1" xfId="0" applyFont="1" applyBorder="1" applyAlignment="1" applyProtection="1">
      <alignment horizontal="center" vertical="center" wrapText="1"/>
      <protection locked="0"/>
    </xf>
    <xf numFmtId="166" fontId="46" fillId="0" borderId="1" xfId="0" applyNumberFormat="1" applyFont="1" applyBorder="1" applyAlignment="1" applyProtection="1">
      <alignment horizontal="center" vertical="center"/>
      <protection locked="0"/>
    </xf>
    <xf numFmtId="166" fontId="47" fillId="0" borderId="1" xfId="0" applyNumberFormat="1" applyFont="1" applyBorder="1" applyAlignment="1" applyProtection="1">
      <alignment horizontal="center" vertical="center"/>
      <protection locked="0"/>
    </xf>
    <xf numFmtId="169" fontId="47" fillId="0" borderId="1" xfId="0" applyNumberFormat="1" applyFont="1" applyBorder="1" applyAlignment="1" applyProtection="1">
      <alignment horizontal="center" vertical="center"/>
      <protection locked="0"/>
    </xf>
    <xf numFmtId="166" fontId="46" fillId="0" borderId="1" xfId="0" applyNumberFormat="1" applyFont="1" applyBorder="1" applyAlignment="1" applyProtection="1">
      <alignment horizontal="center" vertical="center" wrapText="1"/>
      <protection locked="0"/>
    </xf>
    <xf numFmtId="166" fontId="46" fillId="0" borderId="0" xfId="0" applyNumberFormat="1" applyFont="1" applyBorder="1" applyAlignment="1" applyProtection="1">
      <alignment horizontal="center" vertical="center" wrapText="1"/>
      <protection locked="0"/>
    </xf>
    <xf numFmtId="164" fontId="4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gnoza i kredyty-tabele 20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&#322;ata%2018%204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ług spłata"/>
    </sheetNames>
    <sheetDataSet>
      <sheetData sheetId="0">
        <row r="16">
          <cell r="C16">
            <v>4489009</v>
          </cell>
          <cell r="D16">
            <v>3695000</v>
          </cell>
          <cell r="D16">
            <v>3695000</v>
          </cell>
          <cell r="E16">
            <v>3700000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view="pageBreakPreview" zoomScale="50" zoomScaleSheetLayoutView="50" workbookViewId="0" topLeftCell="A1">
      <pane ySplit="5" topLeftCell="A6" activePane="bottomLeft" state="frozen"/>
      <selection pane="topLeft" activeCell="A1" sqref="A1"/>
      <selection pane="bottomLeft" activeCell="K35" sqref="K35"/>
    </sheetView>
  </sheetViews>
  <sheetFormatPr defaultColWidth="12" defaultRowHeight="21.75" customHeight="1"/>
  <cols>
    <col min="1" max="1" width="8.69921875" style="1" customWidth="1"/>
    <col min="2" max="2" width="89.59765625" style="2" customWidth="1"/>
    <col min="3" max="6" width="0" style="1" hidden="1" customWidth="1"/>
    <col min="7" max="7" width="19.296875" style="1" customWidth="1"/>
    <col min="8" max="8" width="0" style="1" hidden="1" customWidth="1"/>
    <col min="9" max="9" width="23.796875" style="1" customWidth="1"/>
    <col min="10" max="10" width="16.5" style="1" customWidth="1"/>
    <col min="11" max="11" width="14.796875" style="1" customWidth="1"/>
    <col min="12" max="12" width="17" style="1" customWidth="1"/>
    <col min="13" max="13" width="16" style="2" customWidth="1"/>
    <col min="14" max="14" width="16.5" style="2" customWidth="1"/>
    <col min="15" max="15" width="15.796875" style="2" customWidth="1"/>
    <col min="16" max="16" width="16.796875" style="2" customWidth="1"/>
    <col min="17" max="17" width="16.296875" style="2" customWidth="1"/>
    <col min="18" max="18" width="16" style="2" customWidth="1"/>
    <col min="19" max="19" width="15.5" style="2" customWidth="1"/>
    <col min="20" max="20" width="14.8984375" style="2" customWidth="1"/>
    <col min="21" max="16384" width="12.296875" style="2" customWidth="1"/>
  </cols>
  <sheetData>
    <row r="1" spans="1:2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4.75" customHeight="1">
      <c r="A3" s="5" t="s">
        <v>2</v>
      </c>
      <c r="B3" s="5" t="s">
        <v>3</v>
      </c>
      <c r="C3" s="5" t="s">
        <v>4</v>
      </c>
      <c r="D3" s="5"/>
      <c r="E3" s="5"/>
      <c r="F3" s="6"/>
      <c r="G3" s="5" t="s">
        <v>5</v>
      </c>
      <c r="H3" s="6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" customFormat="1" ht="47.25" customHeight="1">
      <c r="A4" s="5"/>
      <c r="B4" s="5"/>
      <c r="C4" s="7" t="s">
        <v>8</v>
      </c>
      <c r="D4" s="5" t="s">
        <v>9</v>
      </c>
      <c r="E4" s="5" t="s">
        <v>10</v>
      </c>
      <c r="F4" s="8" t="s">
        <v>11</v>
      </c>
      <c r="G4" s="5" t="s">
        <v>12</v>
      </c>
      <c r="H4" s="6" t="s">
        <v>4</v>
      </c>
      <c r="I4" s="5"/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</row>
    <row r="5" spans="1:20" s="1" customFormat="1" ht="17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8">
        <v>6</v>
      </c>
      <c r="G5" s="9">
        <v>6</v>
      </c>
      <c r="H5" s="8">
        <v>8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</row>
    <row r="6" spans="1:20" s="15" customFormat="1" ht="49.5" customHeight="1">
      <c r="A6" s="10" t="s">
        <v>24</v>
      </c>
      <c r="B6" s="11" t="s">
        <v>25</v>
      </c>
      <c r="C6" s="12">
        <f>C7+C8</f>
        <v>40781807</v>
      </c>
      <c r="D6" s="12">
        <f>D7+D8</f>
        <v>41646128.88</v>
      </c>
      <c r="E6" s="12">
        <f>E7+E8</f>
        <v>47129998.46</v>
      </c>
      <c r="F6" s="13">
        <f>H6/G6*100</f>
        <v>49.897635243504006</v>
      </c>
      <c r="G6" s="12">
        <f>G7+G8</f>
        <v>50891153.15</v>
      </c>
      <c r="H6" s="14">
        <f>H7+H8</f>
        <v>25393481.97</v>
      </c>
      <c r="I6" s="12">
        <f>I7+I8</f>
        <v>55068769.25</v>
      </c>
      <c r="J6" s="12">
        <f>J7+J8</f>
        <v>55339671</v>
      </c>
      <c r="K6" s="12">
        <f>K7+K8</f>
        <v>59128295.25</v>
      </c>
      <c r="L6" s="12">
        <f>L7+L8</f>
        <v>60718561.59875</v>
      </c>
      <c r="M6" s="12">
        <f>M7+M8</f>
        <v>60303415.67773125</v>
      </c>
      <c r="N6" s="12">
        <f>N7+N8</f>
        <v>60207966.91289722</v>
      </c>
      <c r="O6" s="12">
        <f>O7+O8</f>
        <v>61111086.41659068</v>
      </c>
      <c r="P6" s="12">
        <f>P7+P8</f>
        <v>60737176.23158954</v>
      </c>
      <c r="Q6" s="12">
        <f>Q7+Q8</f>
        <v>60448233.87506338</v>
      </c>
      <c r="R6" s="12">
        <f>R7+R8</f>
        <v>61354957.383189335</v>
      </c>
      <c r="S6" s="12">
        <f>S7+S8</f>
        <v>62275281.74393718</v>
      </c>
      <c r="T6" s="12">
        <f>T7+T8</f>
        <v>63209410.97009623</v>
      </c>
    </row>
    <row r="7" spans="1:20" s="22" customFormat="1" ht="33.75" customHeight="1">
      <c r="A7" s="16" t="s">
        <v>26</v>
      </c>
      <c r="B7" s="17" t="s">
        <v>27</v>
      </c>
      <c r="C7" s="18">
        <f>35488119+3020981+266707</f>
        <v>38775807</v>
      </c>
      <c r="D7" s="18">
        <f>41646128.88-D8</f>
        <v>40438982.88</v>
      </c>
      <c r="E7" s="18">
        <v>43465708.96</v>
      </c>
      <c r="F7" s="19">
        <f>H7/G7*100</f>
        <v>52.027679963301665</v>
      </c>
      <c r="G7" s="20">
        <v>47203842.93</v>
      </c>
      <c r="H7" s="21">
        <v>24559064.33</v>
      </c>
      <c r="I7" s="18">
        <v>48732648.25</v>
      </c>
      <c r="J7" s="18">
        <f>52384950</f>
        <v>52384950</v>
      </c>
      <c r="K7" s="18">
        <f>J7*0.035+J7+1500000</f>
        <v>55718423.25</v>
      </c>
      <c r="L7" s="18">
        <f>K7*0.015+K7+430939+900000</f>
        <v>57885138.59875</v>
      </c>
      <c r="M7" s="18">
        <f>L7*0.015+L7</f>
        <v>58753415.67773125</v>
      </c>
      <c r="N7" s="18">
        <f>M7*0.015+M7</f>
        <v>59634716.91289722</v>
      </c>
      <c r="O7" s="18">
        <f>N7*0.015+N7</f>
        <v>60529237.66659068</v>
      </c>
      <c r="P7" s="18">
        <f>O7*0.015+O7-1000000</f>
        <v>60437176.23158954</v>
      </c>
      <c r="Q7" s="18">
        <f>P7*0.015+P7-1200000</f>
        <v>60143733.87506338</v>
      </c>
      <c r="R7" s="18">
        <f>Q7*0.015+Q7</f>
        <v>61045889.883189335</v>
      </c>
      <c r="S7" s="18">
        <f>R7*0.015+R7</f>
        <v>61961578.23143718</v>
      </c>
      <c r="T7" s="18">
        <f>S7*0.015+S7</f>
        <v>62891001.90490873</v>
      </c>
    </row>
    <row r="8" spans="1:20" s="22" customFormat="1" ht="33.75" customHeight="1">
      <c r="A8" s="16" t="s">
        <v>28</v>
      </c>
      <c r="B8" s="17" t="s">
        <v>29</v>
      </c>
      <c r="C8" s="18">
        <f>356000+50000+1600000</f>
        <v>2006000</v>
      </c>
      <c r="D8" s="18">
        <f>674000+D9</f>
        <v>1207146</v>
      </c>
      <c r="E8" s="18">
        <v>3664289.5</v>
      </c>
      <c r="F8" s="19">
        <f>H8/G8*100</f>
        <v>22.62943962442086</v>
      </c>
      <c r="G8" s="20">
        <v>3687310.22</v>
      </c>
      <c r="H8" s="21">
        <v>834417.64</v>
      </c>
      <c r="I8" s="18">
        <v>6336121</v>
      </c>
      <c r="J8" s="23">
        <f>J9+242675+558833+873213</f>
        <v>2954721</v>
      </c>
      <c r="K8" s="23">
        <f>K9+712322+650000+221850+456100</f>
        <v>3409872</v>
      </c>
      <c r="L8" s="23">
        <f>L9+1500000-132049</f>
        <v>2833423</v>
      </c>
      <c r="M8" s="23">
        <f>M9</f>
        <v>1550000</v>
      </c>
      <c r="N8" s="23">
        <f>N9</f>
        <v>573250</v>
      </c>
      <c r="O8" s="23">
        <f>O9</f>
        <v>581848.75</v>
      </c>
      <c r="P8" s="23">
        <f>P9</f>
        <v>300000</v>
      </c>
      <c r="Q8" s="23">
        <f>Q9</f>
        <v>304500</v>
      </c>
      <c r="R8" s="23">
        <f>R9</f>
        <v>309067.5</v>
      </c>
      <c r="S8" s="23">
        <f>S9</f>
        <v>313703.5125</v>
      </c>
      <c r="T8" s="23">
        <f>T9</f>
        <v>318409.06518750003</v>
      </c>
    </row>
    <row r="9" spans="1:20" ht="33.75" customHeight="1">
      <c r="A9" s="16" t="s">
        <v>30</v>
      </c>
      <c r="B9" s="17" t="s">
        <v>31</v>
      </c>
      <c r="C9" s="18">
        <f>1739103+50447</f>
        <v>1789550</v>
      </c>
      <c r="D9" s="18">
        <v>533146</v>
      </c>
      <c r="E9" s="18">
        <f>1740500+50000</f>
        <v>1790500</v>
      </c>
      <c r="F9" s="19">
        <f>H9/G9*100</f>
        <v>23.90350746268657</v>
      </c>
      <c r="G9" s="20">
        <v>1273000</v>
      </c>
      <c r="H9" s="21">
        <f>25666.64+278595.25+29.76</f>
        <v>304291.65</v>
      </c>
      <c r="I9" s="18">
        <v>4000000</v>
      </c>
      <c r="J9" s="23">
        <f>I9*0.07+I9-3000000</f>
        <v>1280000</v>
      </c>
      <c r="K9" s="23">
        <f>J9*0.07+J9</f>
        <v>1369600</v>
      </c>
      <c r="L9" s="23">
        <f>K9*0.07+K9</f>
        <v>1465472</v>
      </c>
      <c r="M9" s="23">
        <v>1550000</v>
      </c>
      <c r="N9" s="23">
        <v>573250</v>
      </c>
      <c r="O9" s="23">
        <f>N9*0.015+N9</f>
        <v>581848.75</v>
      </c>
      <c r="P9" s="23">
        <v>300000</v>
      </c>
      <c r="Q9" s="23">
        <f>P9*0.015+P9</f>
        <v>304500</v>
      </c>
      <c r="R9" s="23">
        <f>Q9*0.015+Q9</f>
        <v>309067.5</v>
      </c>
      <c r="S9" s="23">
        <f>R9*0.015+R9</f>
        <v>313703.5125</v>
      </c>
      <c r="T9" s="23">
        <f>S9*0.015+S9</f>
        <v>318409.06518750003</v>
      </c>
    </row>
    <row r="10" spans="1:20" s="15" customFormat="1" ht="49.5" customHeight="1">
      <c r="A10" s="10" t="s">
        <v>32</v>
      </c>
      <c r="B10" s="11" t="s">
        <v>33</v>
      </c>
      <c r="C10" s="12">
        <f>C11+C12+C13+C17</f>
        <v>35377906</v>
      </c>
      <c r="D10" s="12">
        <f>D11+D12+D13+D17</f>
        <v>37534639</v>
      </c>
      <c r="E10" s="12">
        <f>E11+E12+E13+E17</f>
        <v>42954597.70999999</v>
      </c>
      <c r="F10" s="13">
        <f>H10/G10*100</f>
        <v>115.21414402758204</v>
      </c>
      <c r="G10" s="12">
        <f>G11+G12+G13+G17</f>
        <v>41387803.339999996</v>
      </c>
      <c r="H10" s="14">
        <f>H11+H12+H13+H17</f>
        <v>47684603.35</v>
      </c>
      <c r="I10" s="12">
        <f>I11+I12+I13+I17</f>
        <v>45985327.25</v>
      </c>
      <c r="J10" s="12">
        <f>J11+J12+J13+J17</f>
        <v>46539231.925500005</v>
      </c>
      <c r="K10" s="12">
        <f>K11+K12+K13+K17</f>
        <v>46569285.123265</v>
      </c>
      <c r="L10" s="12">
        <f>L11+L12+L13+L17</f>
        <v>46841522.04505462</v>
      </c>
      <c r="M10" s="12">
        <f>M11+M12+M13+M17</f>
        <v>47309697.598753065</v>
      </c>
      <c r="N10" s="12">
        <f>N11+N12+N13+N17</f>
        <v>47783035.14745739</v>
      </c>
      <c r="O10" s="12">
        <f>O11+O12+O13+O17</f>
        <v>49134360.72474834</v>
      </c>
      <c r="P10" s="12">
        <f>P11+P12+P13+P17</f>
        <v>49626969.06058698</v>
      </c>
      <c r="Q10" s="12">
        <f>Q11+Q12+Q13+Q17</f>
        <v>50125028.151594095</v>
      </c>
      <c r="R10" s="12">
        <f>R11+R12+R13+R17</f>
        <v>50628608.08738461</v>
      </c>
      <c r="S10" s="12">
        <f>S11+S12+S13+S17</f>
        <v>51137780.0603475</v>
      </c>
      <c r="T10" s="12">
        <f>T11+T12+T13+T17</f>
        <v>51652616.38678214</v>
      </c>
    </row>
    <row r="11" spans="1:20" s="22" customFormat="1" ht="48" customHeight="1">
      <c r="A11" s="16" t="s">
        <v>34</v>
      </c>
      <c r="B11" s="17" t="s">
        <v>35</v>
      </c>
      <c r="C11" s="20">
        <f>14308428-135900</f>
        <v>14172528</v>
      </c>
      <c r="D11" s="20">
        <f>16043395-147200</f>
        <v>15896195</v>
      </c>
      <c r="E11" s="20">
        <f>19642078</f>
        <v>19642078</v>
      </c>
      <c r="F11" s="19">
        <f>H11/G11*100</f>
        <v>49.811723395475774</v>
      </c>
      <c r="G11" s="20">
        <f>19746574-3087077.15</f>
        <v>16659496.85</v>
      </c>
      <c r="H11" s="21">
        <f>9914686.83-1616304.34</f>
        <v>8298382.49</v>
      </c>
      <c r="I11" s="20">
        <f>21708619-3506196</f>
        <v>18202423</v>
      </c>
      <c r="J11" s="20">
        <f>I11*0.02+I11</f>
        <v>18566471.46</v>
      </c>
      <c r="K11" s="20">
        <f>J11*0.01+J11</f>
        <v>18752136.1746</v>
      </c>
      <c r="L11" s="20">
        <f>K11*0.01+K11</f>
        <v>18939657.536346</v>
      </c>
      <c r="M11" s="20">
        <f>L11*0.01+L11</f>
        <v>19129054.11170946</v>
      </c>
      <c r="N11" s="20">
        <f>M11*0.01+M11</f>
        <v>19320344.652826555</v>
      </c>
      <c r="O11" s="20">
        <f>N11*0.01+N11</f>
        <v>19513548.099354822</v>
      </c>
      <c r="P11" s="20">
        <f>O11*0.01+O11</f>
        <v>19708683.58034837</v>
      </c>
      <c r="Q11" s="20">
        <f>P11*0.01+P11</f>
        <v>19905770.41615185</v>
      </c>
      <c r="R11" s="20">
        <f>Q11*0.01+Q11</f>
        <v>20104828.12031337</v>
      </c>
      <c r="S11" s="20">
        <f>R11*0.01+R11</f>
        <v>20305876.4015165</v>
      </c>
      <c r="T11" s="20">
        <f>S11*0.01+S11</f>
        <v>20508935.165531665</v>
      </c>
    </row>
    <row r="12" spans="1:20" s="22" customFormat="1" ht="33.75" customHeight="1">
      <c r="A12" s="16" t="s">
        <v>36</v>
      </c>
      <c r="B12" s="17" t="s">
        <v>37</v>
      </c>
      <c r="C12" s="20">
        <f>214650+3688830</f>
        <v>3903480</v>
      </c>
      <c r="D12" s="20">
        <f>251667+3897967</f>
        <v>4149634</v>
      </c>
      <c r="E12" s="20">
        <f>271400+4143066</f>
        <v>4414466</v>
      </c>
      <c r="F12" s="19">
        <f>H12/G12*100</f>
        <v>50.94949349089436</v>
      </c>
      <c r="G12" s="20">
        <v>4378626.12</v>
      </c>
      <c r="H12" s="21">
        <f>2230887.83</f>
        <v>2230887.83</v>
      </c>
      <c r="I12" s="20">
        <v>4794716</v>
      </c>
      <c r="J12" s="20">
        <f>I12*0.003+I12</f>
        <v>4809100.148</v>
      </c>
      <c r="K12" s="20">
        <f>J12*0.005+J12</f>
        <v>4833145.64874</v>
      </c>
      <c r="L12" s="20">
        <f>K12*0.005+K12</f>
        <v>4857311.3769837</v>
      </c>
      <c r="M12" s="20">
        <f>L12*0.005+L12</f>
        <v>4881597.933868619</v>
      </c>
      <c r="N12" s="20">
        <f>M12*0.005+M12</f>
        <v>4906005.923537962</v>
      </c>
      <c r="O12" s="20">
        <f>N12*0.005+N12</f>
        <v>4930535.953155652</v>
      </c>
      <c r="P12" s="20">
        <f>O12*0.005+O12</f>
        <v>4955188.63292143</v>
      </c>
      <c r="Q12" s="20">
        <f>P12*0.005+P12</f>
        <v>4979964.576086038</v>
      </c>
      <c r="R12" s="20">
        <f>Q12*0.005+Q12</f>
        <v>5004864.398966468</v>
      </c>
      <c r="S12" s="20">
        <f>R12*0.005+R12</f>
        <v>5029888.720961301</v>
      </c>
      <c r="T12" s="20">
        <f>S12*0.005+S12</f>
        <v>5055038.164566107</v>
      </c>
    </row>
    <row r="13" spans="1:20" s="22" customFormat="1" ht="45" customHeight="1">
      <c r="A13" s="16" t="s">
        <v>38</v>
      </c>
      <c r="B13" s="17" t="s">
        <v>39</v>
      </c>
      <c r="C13" s="24">
        <f>C14+C15+C16</f>
        <v>0</v>
      </c>
      <c r="D13" s="24">
        <f>D14+D15+D16</f>
        <v>0</v>
      </c>
      <c r="E13" s="24">
        <f>E14+E15+E16</f>
        <v>264812</v>
      </c>
      <c r="F13" s="19">
        <f>H13/G13*100</f>
        <v>42.59462287078788</v>
      </c>
      <c r="G13" s="24">
        <f>G14+G15+G16</f>
        <v>1601003</v>
      </c>
      <c r="H13" s="25">
        <f>H14+H15+H16</f>
        <v>681941.1900000001</v>
      </c>
      <c r="I13" s="24">
        <f>I14+I15+I16</f>
        <v>1724414</v>
      </c>
      <c r="J13" s="24">
        <f>J14+J15+J16</f>
        <v>1767248.325</v>
      </c>
      <c r="K13" s="24">
        <f>K14+K15+K16</f>
        <v>1567326.1875</v>
      </c>
      <c r="L13" s="24">
        <f>L14+L15+L16</f>
        <v>1606459.3421875</v>
      </c>
      <c r="M13" s="24">
        <f>M14+M15+M16</f>
        <v>1646570.8257421877</v>
      </c>
      <c r="N13" s="24">
        <f>N14+N15+N16</f>
        <v>1687685.0963857423</v>
      </c>
      <c r="O13" s="24">
        <f>O14+O15+O16</f>
        <v>1727827.2237953856</v>
      </c>
      <c r="P13" s="24">
        <f>P14+P15+P16</f>
        <v>1771022.9043902704</v>
      </c>
      <c r="Q13" s="24">
        <f>Q14+Q15+Q16</f>
        <v>1815298.477000027</v>
      </c>
      <c r="R13" s="24">
        <f>R14+R15+R16</f>
        <v>1860680.9389250278</v>
      </c>
      <c r="S13" s="24">
        <f>S14+S15+S16</f>
        <v>1907197.9623981533</v>
      </c>
      <c r="T13" s="24">
        <f>T14+T15+T16</f>
        <v>1954877.9114581072</v>
      </c>
    </row>
    <row r="14" spans="1:20" s="28" customFormat="1" ht="45" customHeight="1">
      <c r="A14" s="26"/>
      <c r="B14" s="27" t="s">
        <v>40</v>
      </c>
      <c r="C14" s="20"/>
      <c r="D14" s="20"/>
      <c r="E14" s="20">
        <f>26598+238214</f>
        <v>264812</v>
      </c>
      <c r="F14" s="19">
        <f>H14/G14*100</f>
        <v>0</v>
      </c>
      <c r="G14" s="20">
        <f>'załacznik 2'!J10</f>
        <v>213075</v>
      </c>
      <c r="H14" s="21">
        <f>'załacznik 2'!K10</f>
        <v>0</v>
      </c>
      <c r="I14" s="20">
        <f>'załacznik 2'!L10</f>
        <v>223473</v>
      </c>
      <c r="J14" s="20">
        <f>'załacznik 2'!M10</f>
        <v>229059.825</v>
      </c>
      <c r="K14" s="20">
        <f>'załacznik 2'!N10</f>
        <v>0</v>
      </c>
      <c r="L14" s="20">
        <f>'załacznik 2'!O10</f>
        <v>0</v>
      </c>
      <c r="M14" s="20">
        <f>'załacznik 2'!P10</f>
        <v>0</v>
      </c>
      <c r="N14" s="20">
        <f>'załacznik 2'!Q10</f>
        <v>0</v>
      </c>
      <c r="O14" s="20">
        <f>'załacznik 2'!R10</f>
        <v>0</v>
      </c>
      <c r="P14" s="20">
        <f>'załacznik 2'!S10</f>
        <v>0</v>
      </c>
      <c r="Q14" s="20">
        <f>'załacznik 2'!T10</f>
        <v>0</v>
      </c>
      <c r="R14" s="20">
        <f>'załacznik 2'!U10</f>
        <v>0</v>
      </c>
      <c r="S14" s="20">
        <f>'załacznik 2'!V10</f>
        <v>0</v>
      </c>
      <c r="T14" s="20">
        <f>'załacznik 2'!W10</f>
        <v>0</v>
      </c>
    </row>
    <row r="15" spans="1:20" s="28" customFormat="1" ht="33.75" customHeight="1">
      <c r="A15" s="26"/>
      <c r="B15" s="27" t="s">
        <v>41</v>
      </c>
      <c r="C15" s="20">
        <v>0</v>
      </c>
      <c r="D15" s="20">
        <v>0</v>
      </c>
      <c r="E15" s="20">
        <v>0</v>
      </c>
      <c r="F15" s="19">
        <v>0</v>
      </c>
      <c r="G15" s="20">
        <f>'załacznik 2'!J29</f>
        <v>0</v>
      </c>
      <c r="H15" s="21">
        <f>'załacznik 2'!K29</f>
        <v>0</v>
      </c>
      <c r="I15" s="20">
        <f>'załacznik 2'!L29</f>
        <v>0</v>
      </c>
      <c r="J15" s="20">
        <f>'załacznik 2'!M29</f>
        <v>0</v>
      </c>
      <c r="K15" s="20">
        <f>'załacznik 2'!N29</f>
        <v>0</v>
      </c>
      <c r="L15" s="20">
        <f>'załacznik 2'!O29</f>
        <v>0</v>
      </c>
      <c r="M15" s="20">
        <f>'załacznik 2'!P29</f>
        <v>0</v>
      </c>
      <c r="N15" s="20">
        <f>'załacznik 2'!Q29</f>
        <v>0</v>
      </c>
      <c r="O15" s="20">
        <f>'załacznik 2'!R29</f>
        <v>0</v>
      </c>
      <c r="P15" s="20">
        <f>'załacznik 2'!S29</f>
        <v>0</v>
      </c>
      <c r="Q15" s="20">
        <f>'załacznik 2'!T29</f>
        <v>0</v>
      </c>
      <c r="R15" s="20">
        <f>'załacznik 2'!U29</f>
        <v>0</v>
      </c>
      <c r="S15" s="20">
        <f>'załacznik 2'!V29</f>
        <v>0</v>
      </c>
      <c r="T15" s="20">
        <f>'załacznik 2'!W29</f>
        <v>0</v>
      </c>
    </row>
    <row r="16" spans="1:20" s="28" customFormat="1" ht="33.75" customHeight="1">
      <c r="A16" s="26"/>
      <c r="B16" s="27" t="s">
        <v>42</v>
      </c>
      <c r="C16" s="20"/>
      <c r="D16" s="20"/>
      <c r="E16" s="20">
        <v>0</v>
      </c>
      <c r="F16" s="19">
        <f>H16/G16*100</f>
        <v>49.13375837939721</v>
      </c>
      <c r="G16" s="20">
        <f>'załacznik 2'!J40</f>
        <v>1387928</v>
      </c>
      <c r="H16" s="21">
        <f>'załacznik 2'!K40</f>
        <v>681941.1900000001</v>
      </c>
      <c r="I16" s="20">
        <f>'załacznik 2'!L40</f>
        <v>1500941</v>
      </c>
      <c r="J16" s="20">
        <f>'załacznik 2'!M40</f>
        <v>1538188.5</v>
      </c>
      <c r="K16" s="20">
        <f>'załacznik 2'!N40</f>
        <v>1567326.1875</v>
      </c>
      <c r="L16" s="20">
        <f>'załacznik 2'!O40</f>
        <v>1606459.3421875</v>
      </c>
      <c r="M16" s="20">
        <f>'załacznik 2'!P40</f>
        <v>1646570.8257421877</v>
      </c>
      <c r="N16" s="20">
        <f>'załacznik 2'!Q40</f>
        <v>1687685.0963857423</v>
      </c>
      <c r="O16" s="20">
        <f>'załacznik 2'!R40</f>
        <v>1727827.2237953856</v>
      </c>
      <c r="P16" s="20">
        <f>'załacznik 2'!S40</f>
        <v>1771022.9043902704</v>
      </c>
      <c r="Q16" s="20">
        <f>'załacznik 2'!T40</f>
        <v>1815298.477000027</v>
      </c>
      <c r="R16" s="20">
        <f>'załacznik 2'!U40</f>
        <v>1860680.9389250278</v>
      </c>
      <c r="S16" s="20">
        <f>'załacznik 2'!V40</f>
        <v>1907197.9623981533</v>
      </c>
      <c r="T16" s="20">
        <f>'załacznik 2'!W40</f>
        <v>1954877.9114581072</v>
      </c>
    </row>
    <row r="17" spans="1:20" ht="49.5" customHeight="1">
      <c r="A17" s="16" t="s">
        <v>43</v>
      </c>
      <c r="B17" s="17" t="s">
        <v>44</v>
      </c>
      <c r="C17" s="29">
        <f>35629627-C11-C12-C13-251721</f>
        <v>17301898</v>
      </c>
      <c r="D17" s="29">
        <f>37955636-D11-D12-D13-420997</f>
        <v>17488810</v>
      </c>
      <c r="E17" s="29">
        <f>43718543.98-E11-E12-E13-E27</f>
        <v>18633241.709999997</v>
      </c>
      <c r="F17" s="13">
        <f>H17/G17*100</f>
        <v>194.53847927620512</v>
      </c>
      <c r="G17" s="29">
        <f>42533765.91-G13-G12-G11-G27</f>
        <v>18748677.369999997</v>
      </c>
      <c r="H17" s="29">
        <f>48280218-H13-H12-H11-H27</f>
        <v>36473391.84</v>
      </c>
      <c r="I17" s="29">
        <f>48456925.25-I13-I12-I11-I27</f>
        <v>21263774.25</v>
      </c>
      <c r="J17" s="29">
        <f>I17*1.01-80000</f>
        <v>21396411.9925</v>
      </c>
      <c r="K17" s="29">
        <f>J17*1.01-38699-155000</f>
        <v>21416677.112425</v>
      </c>
      <c r="L17" s="29">
        <f>K17*1.001</f>
        <v>21438093.789537422</v>
      </c>
      <c r="M17" s="29">
        <f>L17*1.01</f>
        <v>21652474.7274328</v>
      </c>
      <c r="N17" s="29">
        <f>M17*1.01</f>
        <v>21868999.474707127</v>
      </c>
      <c r="O17" s="29">
        <f>N17*1.05</f>
        <v>22962449.448442485</v>
      </c>
      <c r="P17" s="29">
        <f>O17*1.01</f>
        <v>23192073.94292691</v>
      </c>
      <c r="Q17" s="29">
        <f>P17*1.01</f>
        <v>23423994.68235618</v>
      </c>
      <c r="R17" s="29">
        <f>Q17*1.01</f>
        <v>23658234.629179742</v>
      </c>
      <c r="S17" s="29">
        <f>R17*1.01</f>
        <v>23894816.97547154</v>
      </c>
      <c r="T17" s="29">
        <f>S17*1.01</f>
        <v>24133765.145226255</v>
      </c>
    </row>
    <row r="18" spans="1:20" s="15" customFormat="1" ht="46.5" customHeight="1">
      <c r="A18" s="10" t="s">
        <v>45</v>
      </c>
      <c r="B18" s="11" t="s">
        <v>46</v>
      </c>
      <c r="C18" s="12">
        <f>C6-C10</f>
        <v>5403901</v>
      </c>
      <c r="D18" s="12">
        <f>D6-D10</f>
        <v>4111489.8800000027</v>
      </c>
      <c r="E18" s="12">
        <f>E6-E10</f>
        <v>4175400.7500000075</v>
      </c>
      <c r="F18" s="13">
        <f>H18/G18*100</f>
        <v>-234.5606741377017</v>
      </c>
      <c r="G18" s="12">
        <f>G6-G10</f>
        <v>9503349.810000002</v>
      </c>
      <c r="H18" s="14">
        <f>H6-H10</f>
        <v>-22291121.380000003</v>
      </c>
      <c r="I18" s="12">
        <f>I6-I10</f>
        <v>9083442</v>
      </c>
      <c r="J18" s="12">
        <f>J6-J10</f>
        <v>8800439.074499995</v>
      </c>
      <c r="K18" s="12">
        <f>K6-K10</f>
        <v>12559010.126735002</v>
      </c>
      <c r="L18" s="12">
        <f>L6-L10</f>
        <v>13877039.55369538</v>
      </c>
      <c r="M18" s="12">
        <f>M6-M10</f>
        <v>12993718.078978188</v>
      </c>
      <c r="N18" s="12">
        <f>N6-N10</f>
        <v>12424931.76543983</v>
      </c>
      <c r="O18" s="12">
        <f>O6-O10</f>
        <v>11976725.69184234</v>
      </c>
      <c r="P18" s="12">
        <f>P6-P10</f>
        <v>11110207.17100256</v>
      </c>
      <c r="Q18" s="12">
        <f>Q6-Q10</f>
        <v>10323205.723469287</v>
      </c>
      <c r="R18" s="12">
        <f>R6-R10</f>
        <v>10726349.295804724</v>
      </c>
      <c r="S18" s="12">
        <f>S6-S10</f>
        <v>11137501.683589682</v>
      </c>
      <c r="T18" s="12">
        <f>T6-T10</f>
        <v>11556794.583314091</v>
      </c>
    </row>
    <row r="19" spans="1:20" s="35" customFormat="1" ht="112.5" customHeight="1">
      <c r="A19" s="30" t="s">
        <v>47</v>
      </c>
      <c r="B19" s="31" t="s">
        <v>48</v>
      </c>
      <c r="C19" s="32">
        <f>C7-C10</f>
        <v>3397901</v>
      </c>
      <c r="D19" s="32">
        <f>D7-D10</f>
        <v>2904343.8800000027</v>
      </c>
      <c r="E19" s="32">
        <f>E7-E10</f>
        <v>511111.25000000745</v>
      </c>
      <c r="F19" s="33">
        <f>H19/G19*100</f>
        <v>-397.6166025376039</v>
      </c>
      <c r="G19" s="32">
        <f>G7-G10</f>
        <v>5816039.590000004</v>
      </c>
      <c r="H19" s="34">
        <f>H7-H10</f>
        <v>-23125539.020000003</v>
      </c>
      <c r="I19" s="32">
        <f>I7-I10</f>
        <v>2747321</v>
      </c>
      <c r="J19" s="32">
        <f>J7-J10</f>
        <v>5845718.0744999945</v>
      </c>
      <c r="K19" s="32">
        <f>K7-K10</f>
        <v>9149138.126735002</v>
      </c>
      <c r="L19" s="32">
        <f>L7-L10</f>
        <v>11043616.55369538</v>
      </c>
      <c r="M19" s="32">
        <f>M7-M10</f>
        <v>11443718.078978188</v>
      </c>
      <c r="N19" s="32">
        <f>N7-N10</f>
        <v>11851681.76543983</v>
      </c>
      <c r="O19" s="32">
        <f>O7-O10</f>
        <v>11394876.94184234</v>
      </c>
      <c r="P19" s="32">
        <f>P7-P10</f>
        <v>10810207.17100256</v>
      </c>
      <c r="Q19" s="32">
        <f>Q7-Q10</f>
        <v>10018705.723469287</v>
      </c>
      <c r="R19" s="32">
        <f>R7-R10</f>
        <v>10417281.795804724</v>
      </c>
      <c r="S19" s="32">
        <f>S7-S10</f>
        <v>10823798.171089679</v>
      </c>
      <c r="T19" s="32">
        <f>T7-T10</f>
        <v>11238385.518126592</v>
      </c>
    </row>
    <row r="20" spans="1:20" s="15" customFormat="1" ht="33.75" customHeight="1">
      <c r="A20" s="10" t="s">
        <v>49</v>
      </c>
      <c r="B20" s="11" t="s">
        <v>50</v>
      </c>
      <c r="C20" s="12">
        <f>C21+C23+C22</f>
        <v>545789</v>
      </c>
      <c r="D20" s="12">
        <f>D21+D23+D22</f>
        <v>-168816</v>
      </c>
      <c r="E20" s="12">
        <f>E21+E23+E22</f>
        <v>885732.8800000027</v>
      </c>
      <c r="F20" s="13">
        <f>H20/G20*100</f>
        <v>4.259323366019649</v>
      </c>
      <c r="G20" s="12">
        <f>G21+G23+G22</f>
        <v>469558.1500000097</v>
      </c>
      <c r="H20" s="12">
        <f>H21+H23+H22</f>
        <v>20000</v>
      </c>
      <c r="I20" s="12">
        <f>I21+I23+I22</f>
        <v>3159987.390000012</v>
      </c>
      <c r="J20" s="12">
        <f>J21+J23+J22</f>
        <v>0</v>
      </c>
      <c r="K20" s="12">
        <f>K21+K23+K22</f>
        <v>0</v>
      </c>
      <c r="L20" s="12">
        <f>L21+L23+L22</f>
        <v>0</v>
      </c>
      <c r="M20" s="12">
        <f>M21+M23+M22</f>
        <v>735480.5536953807</v>
      </c>
      <c r="N20" s="12">
        <f>N21+N23+N22</f>
        <v>5897624.632673569</v>
      </c>
      <c r="O20" s="12">
        <f>O21+O23+O22</f>
        <v>3371293.3981133997</v>
      </c>
      <c r="P20" s="12">
        <f>P21+P23+P22</f>
        <v>3179586.0899557397</v>
      </c>
      <c r="Q20" s="12">
        <f>Q21+Q23+Q22</f>
        <v>924305.260958299</v>
      </c>
      <c r="R20" s="12">
        <f>R21+R23+R22</f>
        <v>2505369.984427586</v>
      </c>
      <c r="S20" s="12">
        <f>S21+S23+S22</f>
        <v>3970589.2802323103</v>
      </c>
      <c r="T20" s="12">
        <f>T21+T23+T22</f>
        <v>7797157.555057</v>
      </c>
    </row>
    <row r="21" spans="1:20" ht="33.75" customHeight="1">
      <c r="A21" s="16" t="s">
        <v>51</v>
      </c>
      <c r="B21" s="17" t="s">
        <v>52</v>
      </c>
      <c r="C21" s="20">
        <v>531253</v>
      </c>
      <c r="D21" s="20">
        <f>C47</f>
        <v>-172584</v>
      </c>
      <c r="E21" s="20">
        <f>D47</f>
        <v>881964.8800000027</v>
      </c>
      <c r="F21" s="19"/>
      <c r="G21" s="26"/>
      <c r="H21" s="36"/>
      <c r="I21" s="20">
        <v>0</v>
      </c>
      <c r="J21" s="20">
        <f>H47</f>
        <v>0</v>
      </c>
      <c r="K21" s="20">
        <f>I47</f>
        <v>0</v>
      </c>
      <c r="L21" s="20">
        <f>K47</f>
        <v>0</v>
      </c>
      <c r="M21" s="20">
        <f>L47</f>
        <v>735480.5536953807</v>
      </c>
      <c r="N21" s="20">
        <f>M47</f>
        <v>5897624.632673569</v>
      </c>
      <c r="O21" s="20">
        <f>N47</f>
        <v>3371293.3981133997</v>
      </c>
      <c r="P21" s="20">
        <f>O47</f>
        <v>3179586.0899557397</v>
      </c>
      <c r="Q21" s="20">
        <f>P47</f>
        <v>924305.260958299</v>
      </c>
      <c r="R21" s="20">
        <f>Q47</f>
        <v>2505369.984427586</v>
      </c>
      <c r="S21" s="20">
        <f>R47</f>
        <v>3970589.2802323103</v>
      </c>
      <c r="T21" s="20">
        <f>S47</f>
        <v>7797157.555057</v>
      </c>
    </row>
    <row r="22" spans="1:20" ht="33.75" customHeight="1">
      <c r="A22" s="16" t="s">
        <v>53</v>
      </c>
      <c r="B22" s="17" t="s">
        <v>54</v>
      </c>
      <c r="C22" s="26"/>
      <c r="D22" s="26"/>
      <c r="E22" s="26"/>
      <c r="F22" s="19">
        <f>H22/G22*100</f>
        <v>0</v>
      </c>
      <c r="G22" s="20">
        <f>E47</f>
        <v>345790.1500000097</v>
      </c>
      <c r="H22" s="20">
        <f>F47</f>
        <v>0</v>
      </c>
      <c r="I22" s="20">
        <f>G47</f>
        <v>3159987.390000012</v>
      </c>
      <c r="J22" s="20">
        <f>I47</f>
        <v>0</v>
      </c>
      <c r="K22" s="20"/>
      <c r="L22" s="20"/>
      <c r="M22" s="17"/>
      <c r="N22" s="17"/>
      <c r="O22" s="17"/>
      <c r="P22" s="17"/>
      <c r="Q22" s="17"/>
      <c r="R22" s="17"/>
      <c r="S22" s="17"/>
      <c r="T22" s="17"/>
    </row>
    <row r="23" spans="1:20" ht="33.75" customHeight="1">
      <c r="A23" s="16" t="s">
        <v>55</v>
      </c>
      <c r="B23" s="17" t="s">
        <v>56</v>
      </c>
      <c r="C23" s="23">
        <v>14536</v>
      </c>
      <c r="D23" s="23">
        <v>3768</v>
      </c>
      <c r="E23" s="23">
        <v>3768</v>
      </c>
      <c r="F23" s="19">
        <f>H23/G23*100</f>
        <v>16.15926572296555</v>
      </c>
      <c r="G23" s="23">
        <v>123768</v>
      </c>
      <c r="H23" s="37">
        <v>20000</v>
      </c>
      <c r="I23" s="20"/>
      <c r="J23" s="20"/>
      <c r="K23" s="20"/>
      <c r="L23" s="20"/>
      <c r="M23" s="17"/>
      <c r="N23" s="17"/>
      <c r="O23" s="17"/>
      <c r="P23" s="17"/>
      <c r="Q23" s="17"/>
      <c r="R23" s="17"/>
      <c r="S23" s="17"/>
      <c r="T23" s="17"/>
    </row>
    <row r="24" spans="1:20" s="15" customFormat="1" ht="49.5" customHeight="1">
      <c r="A24" s="10" t="s">
        <v>57</v>
      </c>
      <c r="B24" s="11" t="s">
        <v>58</v>
      </c>
      <c r="C24" s="12">
        <f>C18+C20</f>
        <v>5949690</v>
      </c>
      <c r="D24" s="12">
        <f>D18+D20</f>
        <v>3942673.8800000027</v>
      </c>
      <c r="E24" s="12">
        <f>E18+E20</f>
        <v>5061133.63000001</v>
      </c>
      <c r="F24" s="13">
        <f>H24/G24*100</f>
        <v>-223.3162230046288</v>
      </c>
      <c r="G24" s="12">
        <f>G18+G20</f>
        <v>9972907.960000012</v>
      </c>
      <c r="H24" s="14">
        <f>H18+H20</f>
        <v>-22271121.380000003</v>
      </c>
      <c r="I24" s="12">
        <f>I18+I20</f>
        <v>12243429.390000012</v>
      </c>
      <c r="J24" s="12">
        <f>J18+J20</f>
        <v>8800439.074499995</v>
      </c>
      <c r="K24" s="12">
        <f>K18+K20</f>
        <v>12559010.126735002</v>
      </c>
      <c r="L24" s="12">
        <f>L18+L20</f>
        <v>13877039.55369538</v>
      </c>
      <c r="M24" s="12">
        <f>M18+M20</f>
        <v>13729198.632673569</v>
      </c>
      <c r="N24" s="12">
        <f>N18+N20</f>
        <v>18322556.3981134</v>
      </c>
      <c r="O24" s="12">
        <f>O18+O20</f>
        <v>15348019.08995574</v>
      </c>
      <c r="P24" s="12">
        <f>P18+P20</f>
        <v>14289793.260958299</v>
      </c>
      <c r="Q24" s="12">
        <f>Q18+Q20</f>
        <v>11247510.984427586</v>
      </c>
      <c r="R24" s="12">
        <f>R18+R20</f>
        <v>13231719.28023231</v>
      </c>
      <c r="S24" s="12">
        <f>S18+S20</f>
        <v>15108090.963821992</v>
      </c>
      <c r="T24" s="12">
        <f>T18+T20</f>
        <v>19353952.13837109</v>
      </c>
    </row>
    <row r="25" spans="1:20" s="35" customFormat="1" ht="112.5" customHeight="1">
      <c r="A25" s="30" t="s">
        <v>47</v>
      </c>
      <c r="B25" s="38" t="s">
        <v>59</v>
      </c>
      <c r="C25" s="39">
        <f>C7-C10+C20</f>
        <v>3943690</v>
      </c>
      <c r="D25" s="39">
        <f>D7-D10+D20</f>
        <v>2735527.8800000027</v>
      </c>
      <c r="E25" s="39">
        <f>E7-E10+E20</f>
        <v>1396844.1300000101</v>
      </c>
      <c r="F25" s="33">
        <f>H25/G25*100</f>
        <v>-367.5949364841148</v>
      </c>
      <c r="G25" s="39">
        <f>G7-G10+G20</f>
        <v>6285597.740000013</v>
      </c>
      <c r="H25" s="40">
        <f>H7-H10+H20</f>
        <v>-23105539.020000003</v>
      </c>
      <c r="I25" s="39">
        <f>I7-I10+I20</f>
        <v>5907308.390000012</v>
      </c>
      <c r="J25" s="39">
        <f>J7-J10+J20</f>
        <v>5845718.0744999945</v>
      </c>
      <c r="K25" s="39">
        <f>K7-K10+K20</f>
        <v>9149138.126735002</v>
      </c>
      <c r="L25" s="39">
        <f>L7-L10+L20</f>
        <v>11043616.55369538</v>
      </c>
      <c r="M25" s="39">
        <f>M7-M10+M20</f>
        <v>12179198.632673569</v>
      </c>
      <c r="N25" s="39">
        <f>N7-N10+N20</f>
        <v>17749306.3981134</v>
      </c>
      <c r="O25" s="39">
        <f>O7-O10+O20</f>
        <v>14766170.33995574</v>
      </c>
      <c r="P25" s="39">
        <f>P7-P10+P20</f>
        <v>13989793.260958299</v>
      </c>
      <c r="Q25" s="39">
        <f>Q7-Q10+Q20</f>
        <v>10943010.984427586</v>
      </c>
      <c r="R25" s="39">
        <f>R7-R10+R20</f>
        <v>12922651.78023231</v>
      </c>
      <c r="S25" s="39">
        <f>S7-S10+S20</f>
        <v>14794387.45132199</v>
      </c>
      <c r="T25" s="39">
        <f>T7-T10+T20</f>
        <v>19035543.073183592</v>
      </c>
    </row>
    <row r="26" spans="1:20" s="15" customFormat="1" ht="33.75" customHeight="1">
      <c r="A26" s="10" t="s">
        <v>60</v>
      </c>
      <c r="B26" s="11" t="s">
        <v>61</v>
      </c>
      <c r="C26" s="12">
        <f>C27+C34+C36</f>
        <v>1778408</v>
      </c>
      <c r="D26" s="12">
        <f>D27+D34+D36</f>
        <v>2171564</v>
      </c>
      <c r="E26" s="12">
        <f>E27+E34+E36</f>
        <v>2272060.27</v>
      </c>
      <c r="F26" s="13">
        <f>H26/G26*100</f>
        <v>74.90244908368852</v>
      </c>
      <c r="G26" s="12">
        <f>G27+G34+G36</f>
        <v>5754971.57</v>
      </c>
      <c r="H26" s="14">
        <f>H27+H34+H36</f>
        <v>4310614.65</v>
      </c>
      <c r="I26" s="12">
        <f>I27+I34+I36</f>
        <v>6171598</v>
      </c>
      <c r="J26" s="12">
        <f>J27+J34+J36</f>
        <v>6400687</v>
      </c>
      <c r="K26" s="12">
        <f>K27+K34+K36</f>
        <v>5325884</v>
      </c>
      <c r="L26" s="12">
        <f>L27+L34+L36</f>
        <v>5816219</v>
      </c>
      <c r="M26" s="12">
        <f>M27+M34+M36</f>
        <v>6331574</v>
      </c>
      <c r="N26" s="12">
        <f>N27+N34+N36</f>
        <v>6051263</v>
      </c>
      <c r="O26" s="12">
        <f>O27+O34+O36</f>
        <v>6568433</v>
      </c>
      <c r="P26" s="12">
        <f>P27+P34+P36</f>
        <v>5865488</v>
      </c>
      <c r="Q26" s="12">
        <f>Q27+Q34+Q36</f>
        <v>4742141</v>
      </c>
      <c r="R26" s="12">
        <f>R27+R34+R36</f>
        <v>4361129</v>
      </c>
      <c r="S26" s="12">
        <f>S27+S34+S36</f>
        <v>2410931.408764992</v>
      </c>
      <c r="T26" s="12">
        <f>T27+T34+T36</f>
        <v>703360</v>
      </c>
    </row>
    <row r="27" spans="1:26" s="46" customFormat="1" ht="33.75" customHeight="1">
      <c r="A27" s="41" t="s">
        <v>62</v>
      </c>
      <c r="B27" s="42" t="s">
        <v>63</v>
      </c>
      <c r="C27" s="43">
        <f>C28+C30+C32</f>
        <v>251721</v>
      </c>
      <c r="D27" s="43">
        <f>D28+D30+D32</f>
        <v>420997</v>
      </c>
      <c r="E27" s="43">
        <f>E28+E30+E32</f>
        <v>763946.27</v>
      </c>
      <c r="F27" s="13">
        <f>H27/G27*100</f>
        <v>51.975052727943805</v>
      </c>
      <c r="G27" s="43">
        <f>G28+G30+G32</f>
        <v>1145962.57</v>
      </c>
      <c r="H27" s="44">
        <f>H28+H30+H32</f>
        <v>595614.65</v>
      </c>
      <c r="I27" s="43">
        <f>I28+I30+I32</f>
        <v>2471598</v>
      </c>
      <c r="J27" s="43">
        <f>J28+J30+J32</f>
        <v>2700687</v>
      </c>
      <c r="K27" s="43">
        <f>K28+K30+K32</f>
        <v>2825884</v>
      </c>
      <c r="L27" s="43">
        <f>L28+L30+L32</f>
        <v>2596510</v>
      </c>
      <c r="M27" s="43">
        <f>M28+M30+M32</f>
        <v>2111865</v>
      </c>
      <c r="N27" s="43">
        <f>N28+N30+N32</f>
        <v>1831554</v>
      </c>
      <c r="O27" s="43">
        <f>O28+O30+O32</f>
        <v>1899604</v>
      </c>
      <c r="P27" s="43">
        <f>P28+P30+P32</f>
        <v>1645779</v>
      </c>
      <c r="Q27" s="43">
        <f>Q28+Q30+Q32</f>
        <v>1522432</v>
      </c>
      <c r="R27" s="43">
        <f>R28+R30+R32</f>
        <v>1216420</v>
      </c>
      <c r="S27" s="43">
        <f>S28+S30+S32</f>
        <v>990567</v>
      </c>
      <c r="T27" s="43">
        <f>T28+T30+T32</f>
        <v>703360</v>
      </c>
      <c r="U27" s="45"/>
      <c r="V27" s="45"/>
      <c r="W27" s="45"/>
      <c r="X27" s="45"/>
      <c r="Y27" s="45"/>
      <c r="Z27" s="45"/>
    </row>
    <row r="28" spans="1:26" ht="33.75" customHeight="1">
      <c r="A28" s="16" t="s">
        <v>64</v>
      </c>
      <c r="B28" s="17" t="s">
        <v>65</v>
      </c>
      <c r="C28" s="20">
        <v>251721</v>
      </c>
      <c r="D28" s="20">
        <v>420997</v>
      </c>
      <c r="E28" s="20">
        <v>763946.27</v>
      </c>
      <c r="F28" s="19">
        <f>H28/G28*100</f>
        <v>51.975052727943805</v>
      </c>
      <c r="G28" s="20">
        <v>1145962.57</v>
      </c>
      <c r="H28" s="21">
        <f>595614.65</f>
        <v>595614.65</v>
      </c>
      <c r="I28" s="20">
        <v>1786000</v>
      </c>
      <c r="J28" s="20">
        <v>1678290</v>
      </c>
      <c r="K28" s="20">
        <v>1819434</v>
      </c>
      <c r="L28" s="20">
        <v>1610475</v>
      </c>
      <c r="M28" s="20">
        <v>1336615</v>
      </c>
      <c r="N28" s="20">
        <v>1062756</v>
      </c>
      <c r="O28" s="20">
        <v>1173047</v>
      </c>
      <c r="P28" s="20">
        <v>919321</v>
      </c>
      <c r="Q28" s="20">
        <v>795596</v>
      </c>
      <c r="R28" s="20">
        <v>496200</v>
      </c>
      <c r="S28" s="20">
        <v>290532</v>
      </c>
      <c r="T28" s="20">
        <v>0</v>
      </c>
      <c r="U28" s="47"/>
      <c r="V28" s="47"/>
      <c r="W28" s="47"/>
      <c r="X28" s="47"/>
      <c r="Y28" s="47"/>
      <c r="Z28" s="47"/>
    </row>
    <row r="29" spans="1:26" s="53" customFormat="1" ht="46.5" customHeight="1">
      <c r="A29" s="16"/>
      <c r="B29" s="48" t="s">
        <v>66</v>
      </c>
      <c r="C29" s="48"/>
      <c r="D29" s="48"/>
      <c r="E29" s="48"/>
      <c r="F29" s="13"/>
      <c r="G29" s="49"/>
      <c r="H29" s="50"/>
      <c r="I29" s="49"/>
      <c r="J29" s="50"/>
      <c r="K29" s="50"/>
      <c r="L29" s="50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  <c r="X29" s="52"/>
      <c r="Y29" s="52"/>
      <c r="Z29" s="52"/>
    </row>
    <row r="30" spans="1:26" ht="33.75" customHeight="1">
      <c r="A30" s="16" t="s">
        <v>67</v>
      </c>
      <c r="B30" s="17" t="s">
        <v>68</v>
      </c>
      <c r="C30" s="20"/>
      <c r="D30" s="54"/>
      <c r="E30" s="54"/>
      <c r="F30" s="19" t="e">
        <f>H30/G30*100</f>
        <v>#DIV/0!</v>
      </c>
      <c r="G30" s="54">
        <v>0</v>
      </c>
      <c r="H30" s="55">
        <v>0</v>
      </c>
      <c r="I30" s="54">
        <v>339827</v>
      </c>
      <c r="J30" s="56">
        <f>398587</f>
        <v>398587</v>
      </c>
      <c r="K30" s="56">
        <f>402028</f>
        <v>402028</v>
      </c>
      <c r="L30" s="56">
        <f>405652</f>
        <v>405652</v>
      </c>
      <c r="M30" s="56">
        <f>409490</f>
        <v>409490</v>
      </c>
      <c r="N30" s="56">
        <f>414428</f>
        <v>414428</v>
      </c>
      <c r="O30" s="56">
        <f>383574</f>
        <v>383574</v>
      </c>
      <c r="P30" s="56">
        <f>394865</f>
        <v>394865</v>
      </c>
      <c r="Q30" s="24">
        <f>406632</f>
        <v>406632</v>
      </c>
      <c r="R30" s="24">
        <f>411404</f>
        <v>411404</v>
      </c>
      <c r="S30" s="24">
        <f>402607</f>
        <v>402607</v>
      </c>
      <c r="T30" s="24">
        <v>417320</v>
      </c>
      <c r="U30" s="47"/>
      <c r="V30" s="47"/>
      <c r="W30" s="47"/>
      <c r="X30" s="47"/>
      <c r="Y30" s="47"/>
      <c r="Z30" s="47"/>
    </row>
    <row r="31" spans="1:26" s="53" customFormat="1" ht="46.5" customHeight="1">
      <c r="A31" s="16"/>
      <c r="B31" s="48" t="s">
        <v>69</v>
      </c>
      <c r="C31" s="48"/>
      <c r="D31" s="48"/>
      <c r="E31" s="48"/>
      <c r="F31" s="13"/>
      <c r="G31" s="57"/>
      <c r="H31" s="58"/>
      <c r="I31" s="49"/>
      <c r="J31" s="50"/>
      <c r="K31" s="50"/>
      <c r="L31" s="50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  <c r="X31" s="52"/>
      <c r="Y31" s="52"/>
      <c r="Z31" s="52"/>
    </row>
    <row r="32" spans="1:26" ht="45" customHeight="1">
      <c r="A32" s="16" t="s">
        <v>70</v>
      </c>
      <c r="B32" s="17" t="s">
        <v>71</v>
      </c>
      <c r="C32" s="20">
        <v>0</v>
      </c>
      <c r="D32" s="20">
        <v>0</v>
      </c>
      <c r="E32" s="20">
        <v>0</v>
      </c>
      <c r="F32" s="19" t="e">
        <f>H32/G32*100</f>
        <v>#DIV/0!</v>
      </c>
      <c r="G32" s="20">
        <v>0</v>
      </c>
      <c r="H32" s="21">
        <v>0</v>
      </c>
      <c r="I32" s="20">
        <f>'załacznik 2'!L42</f>
        <v>345771</v>
      </c>
      <c r="J32" s="20">
        <f>'załacznik 2'!M42</f>
        <v>623810</v>
      </c>
      <c r="K32" s="20">
        <f>'załacznik 2'!N42</f>
        <v>604422</v>
      </c>
      <c r="L32" s="20">
        <f>'załacznik 2'!O42</f>
        <v>580383</v>
      </c>
      <c r="M32" s="20">
        <f>'załacznik 2'!P42</f>
        <v>365760</v>
      </c>
      <c r="N32" s="20">
        <f>'załacznik 2'!Q42</f>
        <v>354370</v>
      </c>
      <c r="O32" s="20">
        <f>'załacznik 2'!R42</f>
        <v>342983</v>
      </c>
      <c r="P32" s="20">
        <f>'załacznik 2'!S42</f>
        <v>331593</v>
      </c>
      <c r="Q32" s="20">
        <f>'załacznik 2'!T42</f>
        <v>320204</v>
      </c>
      <c r="R32" s="20">
        <f>'załacznik 2'!U42</f>
        <v>308816</v>
      </c>
      <c r="S32" s="20">
        <f>'załacznik 2'!V42</f>
        <v>297428</v>
      </c>
      <c r="T32" s="20">
        <f>'załacznik 2'!W42</f>
        <v>286040</v>
      </c>
      <c r="U32" s="47"/>
      <c r="V32" s="47"/>
      <c r="W32" s="47"/>
      <c r="X32" s="47"/>
      <c r="Y32" s="47"/>
      <c r="Z32" s="47"/>
    </row>
    <row r="33" spans="1:26" s="46" customFormat="1" ht="46.5" customHeight="1">
      <c r="A33" s="16"/>
      <c r="B33" s="48" t="s">
        <v>72</v>
      </c>
      <c r="C33" s="48"/>
      <c r="D33" s="48"/>
      <c r="E33" s="48"/>
      <c r="F33" s="13"/>
      <c r="G33" s="49"/>
      <c r="H33" s="50"/>
      <c r="I33" s="49"/>
      <c r="J33" s="50"/>
      <c r="K33" s="50"/>
      <c r="L33" s="50"/>
      <c r="M33" s="59"/>
      <c r="N33" s="59"/>
      <c r="O33" s="59"/>
      <c r="P33" s="59"/>
      <c r="Q33" s="59"/>
      <c r="R33" s="59"/>
      <c r="S33" s="59"/>
      <c r="T33" s="59"/>
      <c r="U33" s="45"/>
      <c r="V33" s="45"/>
      <c r="W33" s="45"/>
      <c r="X33" s="45"/>
      <c r="Y33" s="45"/>
      <c r="Z33" s="45"/>
    </row>
    <row r="34" spans="1:26" s="46" customFormat="1" ht="33.75" customHeight="1">
      <c r="A34" s="41" t="s">
        <v>73</v>
      </c>
      <c r="B34" s="42" t="s">
        <v>74</v>
      </c>
      <c r="C34" s="29">
        <v>1526687</v>
      </c>
      <c r="D34" s="12">
        <v>1750567</v>
      </c>
      <c r="E34" s="12">
        <v>1508114</v>
      </c>
      <c r="F34" s="13">
        <f>H34/G34*100</f>
        <v>82.31215397429588</v>
      </c>
      <c r="G34" s="12">
        <f>'[1]dług spłata'!C16</f>
        <v>4489009</v>
      </c>
      <c r="H34" s="12">
        <f>'[1]dług spłata'!D16</f>
        <v>3695000</v>
      </c>
      <c r="I34" s="12">
        <f>'[1]dług spłata'!D16+5000</f>
        <v>3700000</v>
      </c>
      <c r="J34" s="12">
        <f>'[1]dług spłata'!E16</f>
        <v>3700000</v>
      </c>
      <c r="K34" s="12">
        <v>2500000</v>
      </c>
      <c r="L34" s="12">
        <v>3219709</v>
      </c>
      <c r="M34" s="12">
        <v>4219709</v>
      </c>
      <c r="N34" s="12">
        <v>4219709</v>
      </c>
      <c r="O34" s="12">
        <v>4668829</v>
      </c>
      <c r="P34" s="12">
        <v>4219709</v>
      </c>
      <c r="Q34" s="12">
        <v>3219709</v>
      </c>
      <c r="R34" s="12">
        <v>3144709</v>
      </c>
      <c r="S34" s="12">
        <f>R52</f>
        <v>1420364.408764992</v>
      </c>
      <c r="T34" s="12">
        <v>0</v>
      </c>
      <c r="U34" s="45"/>
      <c r="V34" s="45"/>
      <c r="W34" s="45"/>
      <c r="X34" s="45"/>
      <c r="Y34" s="45"/>
      <c r="Z34" s="45"/>
    </row>
    <row r="35" spans="1:20" s="60" customFormat="1" ht="46.5" customHeight="1">
      <c r="A35" s="24"/>
      <c r="B35" s="50" t="s">
        <v>75</v>
      </c>
      <c r="C35" s="58"/>
      <c r="D35" s="58"/>
      <c r="E35" s="58"/>
      <c r="F35" s="13"/>
      <c r="G35" s="57"/>
      <c r="H35" s="58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7"/>
    </row>
    <row r="36" spans="1:26" s="46" customFormat="1" ht="33.75" customHeight="1">
      <c r="A36" s="41" t="s">
        <v>76</v>
      </c>
      <c r="B36" s="42" t="s">
        <v>77</v>
      </c>
      <c r="C36" s="20">
        <v>0</v>
      </c>
      <c r="D36" s="20">
        <v>0</v>
      </c>
      <c r="E36" s="20">
        <v>0</v>
      </c>
      <c r="F36" s="19">
        <f>H36/G36*100</f>
        <v>16.666666666666664</v>
      </c>
      <c r="G36" s="20">
        <v>120000</v>
      </c>
      <c r="H36" s="21">
        <v>20000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45"/>
      <c r="V36" s="45"/>
      <c r="W36" s="45"/>
      <c r="X36" s="45"/>
      <c r="Y36" s="45"/>
      <c r="Z36" s="45"/>
    </row>
    <row r="37" spans="1:26" s="46" customFormat="1" ht="112.5" customHeight="1">
      <c r="A37" s="61" t="s">
        <v>47</v>
      </c>
      <c r="B37" s="38" t="s">
        <v>78</v>
      </c>
      <c r="C37" s="62">
        <f>C7+C20-(C10+C27)</f>
        <v>3691969</v>
      </c>
      <c r="D37" s="62">
        <f>D7+D20-(D10+D27)</f>
        <v>2314530.8800000027</v>
      </c>
      <c r="E37" s="62">
        <f>E7+E20-(E10+E27)</f>
        <v>632897.8600000069</v>
      </c>
      <c r="F37" s="33">
        <f>H37/G37*100</f>
        <v>-461.14467050780814</v>
      </c>
      <c r="G37" s="62">
        <f>G7+G20-(G10+G27)</f>
        <v>5139635.170000017</v>
      </c>
      <c r="H37" s="63">
        <f>H7+H20-(H10+H27)</f>
        <v>-23701153.67</v>
      </c>
      <c r="I37" s="62">
        <f>I7+I20-(I10+I27)</f>
        <v>3435710.3900000155</v>
      </c>
      <c r="J37" s="62">
        <f>J7+J20-(J10+J27)</f>
        <v>3145031.0744999945</v>
      </c>
      <c r="K37" s="62">
        <f>K7+K20-(K10+K27)</f>
        <v>6323254.126735002</v>
      </c>
      <c r="L37" s="62">
        <f>L7+L20-(L10+L27)</f>
        <v>8447106.55369538</v>
      </c>
      <c r="M37" s="62">
        <f>M7+M20-(M10+M27)</f>
        <v>10067333.632673569</v>
      </c>
      <c r="N37" s="62">
        <f>N7+N20-(N10+N27)</f>
        <v>15917752.3981134</v>
      </c>
      <c r="O37" s="62">
        <f>O7+O20-(O10+O27)</f>
        <v>12866566.33995574</v>
      </c>
      <c r="P37" s="62">
        <f>P7+P20-(P10+P27)</f>
        <v>12344014.260958299</v>
      </c>
      <c r="Q37" s="62">
        <f>Q7+Q20-(Q10+Q27)</f>
        <v>9420578.984427586</v>
      </c>
      <c r="R37" s="62">
        <f>R7+R20-(R10+R27)</f>
        <v>11706231.78023231</v>
      </c>
      <c r="S37" s="62">
        <f>S7+S20-(S10+S27)</f>
        <v>13803820.45132199</v>
      </c>
      <c r="T37" s="62">
        <f>T7+T20-(T10+T27)</f>
        <v>18332183.073183596</v>
      </c>
      <c r="U37" s="45"/>
      <c r="V37" s="45"/>
      <c r="W37" s="45"/>
      <c r="X37" s="45"/>
      <c r="Y37" s="45"/>
      <c r="Z37" s="45"/>
    </row>
    <row r="38" spans="1:26" s="15" customFormat="1" ht="49.5" customHeight="1">
      <c r="A38" s="10" t="s">
        <v>79</v>
      </c>
      <c r="B38" s="11" t="s">
        <v>80</v>
      </c>
      <c r="C38" s="12">
        <f>C24-C26-C36</f>
        <v>4171282</v>
      </c>
      <c r="D38" s="12">
        <f>D24-D26-D36</f>
        <v>1771109.8800000027</v>
      </c>
      <c r="E38" s="12">
        <f>E24-E26-E36</f>
        <v>2789073.36000001</v>
      </c>
      <c r="F38" s="13">
        <f>H38/G38*100</f>
        <v>-649.1495596396977</v>
      </c>
      <c r="G38" s="12">
        <f>G24-G26-G36</f>
        <v>4097936.390000012</v>
      </c>
      <c r="H38" s="14">
        <f>H24-H26-H36</f>
        <v>-26601736.03</v>
      </c>
      <c r="I38" s="12">
        <f>I24-I26-I36</f>
        <v>6071831.390000012</v>
      </c>
      <c r="J38" s="12">
        <f>J24-J26-J36</f>
        <v>2399752.0744999945</v>
      </c>
      <c r="K38" s="12">
        <f>K24-K26-K36</f>
        <v>7233126.126735002</v>
      </c>
      <c r="L38" s="12">
        <f>L24-L26-L36</f>
        <v>8060820.553695381</v>
      </c>
      <c r="M38" s="12">
        <f>M24-M26-M36</f>
        <v>7397624.632673569</v>
      </c>
      <c r="N38" s="12">
        <f>N24-N26-N36</f>
        <v>12271293.3981134</v>
      </c>
      <c r="O38" s="12">
        <f>O24-O26-O36</f>
        <v>8779586.08995574</v>
      </c>
      <c r="P38" s="12">
        <f>P24-P26-P36</f>
        <v>8424305.260958299</v>
      </c>
      <c r="Q38" s="12">
        <f>Q24-Q26-Q36</f>
        <v>6505369.984427586</v>
      </c>
      <c r="R38" s="12">
        <f>R24-R26-R36</f>
        <v>8870590.28023231</v>
      </c>
      <c r="S38" s="12">
        <f>S24-S26-S36</f>
        <v>12697159.555057</v>
      </c>
      <c r="T38" s="12">
        <f>T24-T26-T36</f>
        <v>18650592.13837109</v>
      </c>
      <c r="U38" s="64"/>
      <c r="V38" s="64"/>
      <c r="W38" s="64"/>
      <c r="X38" s="64"/>
      <c r="Y38" s="64"/>
      <c r="Z38" s="64"/>
    </row>
    <row r="39" spans="1:26" s="15" customFormat="1" ht="33.75" customHeight="1">
      <c r="A39" s="10" t="s">
        <v>81</v>
      </c>
      <c r="B39" s="11" t="s">
        <v>82</v>
      </c>
      <c r="C39" s="12">
        <f>C40+C44</f>
        <v>5093357</v>
      </c>
      <c r="D39" s="12">
        <f>D40+D44</f>
        <v>11888305</v>
      </c>
      <c r="E39" s="12">
        <f>E40+E44</f>
        <v>12950483.21</v>
      </c>
      <c r="F39" s="13">
        <f>H39/G39*100</f>
        <v>25.74856953981141</v>
      </c>
      <c r="G39" s="12">
        <f>G40+G44</f>
        <v>12210581</v>
      </c>
      <c r="H39" s="14">
        <f>H40+H44</f>
        <v>3144049.94</v>
      </c>
      <c r="I39" s="12">
        <f>I40+I44</f>
        <v>6520951</v>
      </c>
      <c r="J39" s="12">
        <f>J40+J44</f>
        <v>7673930</v>
      </c>
      <c r="K39" s="12">
        <f>K40+K44</f>
        <v>11714644</v>
      </c>
      <c r="L39" s="12">
        <f>L40+L44</f>
        <v>7325340</v>
      </c>
      <c r="M39" s="12">
        <f>M40+M44</f>
        <v>1500000</v>
      </c>
      <c r="N39" s="12">
        <f>N40+N44</f>
        <v>8900000</v>
      </c>
      <c r="O39" s="12">
        <f>O40+O44</f>
        <v>5600000</v>
      </c>
      <c r="P39" s="12">
        <f>P40+P44</f>
        <v>7500000</v>
      </c>
      <c r="Q39" s="12">
        <f>Q40+Q44</f>
        <v>4000000</v>
      </c>
      <c r="R39" s="12">
        <f>R40+R44</f>
        <v>4900001</v>
      </c>
      <c r="S39" s="12">
        <f>S40+S44</f>
        <v>4900002</v>
      </c>
      <c r="T39" s="12">
        <f>T40+T44</f>
        <v>0</v>
      </c>
      <c r="U39" s="64"/>
      <c r="V39" s="64"/>
      <c r="W39" s="64"/>
      <c r="X39" s="64"/>
      <c r="Y39" s="64"/>
      <c r="Z39" s="64"/>
    </row>
    <row r="40" spans="1:26" ht="33.75" customHeight="1">
      <c r="A40" s="16" t="s">
        <v>83</v>
      </c>
      <c r="B40" s="17" t="s">
        <v>84</v>
      </c>
      <c r="C40" s="24">
        <f>C41+C43</f>
        <v>0</v>
      </c>
      <c r="D40" s="24">
        <f>D41+D43</f>
        <v>0</v>
      </c>
      <c r="E40" s="24">
        <f>E41+E43</f>
        <v>0</v>
      </c>
      <c r="F40" s="19">
        <f>H40/G40*100</f>
        <v>0</v>
      </c>
      <c r="G40" s="24">
        <f>G41+G43+G42</f>
        <v>2240492</v>
      </c>
      <c r="H40" s="25">
        <f>H41+H43+H42</f>
        <v>0</v>
      </c>
      <c r="I40" s="24">
        <f>I41+I43+I42</f>
        <v>5633550</v>
      </c>
      <c r="J40" s="24">
        <f>J41+J43+J42</f>
        <v>7673930</v>
      </c>
      <c r="K40" s="24">
        <f>K41+K43+K42</f>
        <v>11714644</v>
      </c>
      <c r="L40" s="24">
        <f>L41+L43+L42</f>
        <v>7325340</v>
      </c>
      <c r="M40" s="24">
        <f>M41+M43+M42</f>
        <v>800000</v>
      </c>
      <c r="N40" s="24">
        <f>N41+N43+N42</f>
        <v>300000</v>
      </c>
      <c r="O40" s="24">
        <f>O41+O43+O42</f>
        <v>0</v>
      </c>
      <c r="P40" s="24">
        <f>P41+P43+P42</f>
        <v>0</v>
      </c>
      <c r="Q40" s="24">
        <f>Q41+Q43+Q42</f>
        <v>0</v>
      </c>
      <c r="R40" s="24">
        <f>R41+R43+R42</f>
        <v>0</v>
      </c>
      <c r="S40" s="24">
        <f>S41+S43+S42</f>
        <v>0</v>
      </c>
      <c r="T40" s="24">
        <f>T41+T43+T42</f>
        <v>0</v>
      </c>
      <c r="U40" s="47"/>
      <c r="V40" s="47"/>
      <c r="W40" s="47"/>
      <c r="X40" s="47"/>
      <c r="Y40" s="47"/>
      <c r="Z40" s="47"/>
    </row>
    <row r="41" spans="1:26" ht="45" customHeight="1">
      <c r="A41" s="16"/>
      <c r="B41" s="27" t="s">
        <v>85</v>
      </c>
      <c r="C41" s="20"/>
      <c r="D41" s="20"/>
      <c r="E41" s="20"/>
      <c r="F41" s="19">
        <f>H41/G41*100</f>
        <v>0</v>
      </c>
      <c r="G41" s="24">
        <f>'załacznik 2'!J11</f>
        <v>1257742</v>
      </c>
      <c r="H41" s="25">
        <f>'załacznik 2'!K11</f>
        <v>0</v>
      </c>
      <c r="I41" s="24">
        <f>'załacznik 2'!L11</f>
        <v>2602300</v>
      </c>
      <c r="J41" s="24">
        <f>'załacznik 2'!M11</f>
        <v>6603930</v>
      </c>
      <c r="K41" s="24">
        <f>'załacznik 2'!N11</f>
        <v>3039644</v>
      </c>
      <c r="L41" s="24">
        <f>'załacznik 2'!O11</f>
        <v>1310000</v>
      </c>
      <c r="M41" s="24">
        <f>'załacznik 2'!P11</f>
        <v>500000</v>
      </c>
      <c r="N41" s="24">
        <f>'załacznik 2'!Q11</f>
        <v>0</v>
      </c>
      <c r="O41" s="24">
        <f>'załacznik 2'!R11</f>
        <v>0</v>
      </c>
      <c r="P41" s="24">
        <f>'załacznik 2'!S11</f>
        <v>0</v>
      </c>
      <c r="Q41" s="24">
        <f>'załacznik 2'!T11</f>
        <v>0</v>
      </c>
      <c r="R41" s="24">
        <f>'załacznik 2'!U11</f>
        <v>0</v>
      </c>
      <c r="S41" s="24">
        <f>'załacznik 2'!V11</f>
        <v>0</v>
      </c>
      <c r="T41" s="24">
        <f>'załacznik 2'!W11</f>
        <v>0</v>
      </c>
      <c r="U41" s="47"/>
      <c r="V41" s="47"/>
      <c r="W41" s="47"/>
      <c r="X41" s="47"/>
      <c r="Y41" s="47"/>
      <c r="Z41" s="47"/>
    </row>
    <row r="42" spans="1:26" ht="33.75" customHeight="1">
      <c r="A42" s="16"/>
      <c r="B42" s="27" t="s">
        <v>86</v>
      </c>
      <c r="C42" s="20"/>
      <c r="D42" s="20"/>
      <c r="E42" s="20"/>
      <c r="F42" s="19">
        <f>H42/G42*100</f>
        <v>0</v>
      </c>
      <c r="G42" s="24">
        <f>'załacznik 2'!J35</f>
        <v>982750</v>
      </c>
      <c r="H42" s="25">
        <f>'załacznik 2'!K35</f>
        <v>0</v>
      </c>
      <c r="I42" s="24">
        <f>'załacznik 2'!L35</f>
        <v>3031250</v>
      </c>
      <c r="J42" s="24">
        <f>'załacznik 2'!M35</f>
        <v>1070000</v>
      </c>
      <c r="K42" s="24">
        <f>'załacznik 2'!N35</f>
        <v>8675000</v>
      </c>
      <c r="L42" s="24">
        <f>'załacznik 2'!O35</f>
        <v>6015340</v>
      </c>
      <c r="M42" s="24">
        <f>'załacznik 2'!P35</f>
        <v>300000</v>
      </c>
      <c r="N42" s="24">
        <f>'załacznik 2'!Q35</f>
        <v>300000</v>
      </c>
      <c r="O42" s="24">
        <f>'załacznik 2'!R35</f>
        <v>0</v>
      </c>
      <c r="P42" s="24">
        <f>'załacznik 2'!S35</f>
        <v>0</v>
      </c>
      <c r="Q42" s="24">
        <f>'załacznik 2'!T35</f>
        <v>0</v>
      </c>
      <c r="R42" s="24">
        <f>'załacznik 2'!U35</f>
        <v>0</v>
      </c>
      <c r="S42" s="24">
        <f>'załacznik 2'!V35</f>
        <v>0</v>
      </c>
      <c r="T42" s="24">
        <f>'załacznik 2'!W35</f>
        <v>0</v>
      </c>
      <c r="U42" s="47"/>
      <c r="V42" s="47"/>
      <c r="W42" s="47"/>
      <c r="X42" s="47"/>
      <c r="Y42" s="47"/>
      <c r="Z42" s="47"/>
    </row>
    <row r="43" spans="1:26" ht="33.75" customHeight="1">
      <c r="A43" s="16"/>
      <c r="B43" s="27" t="s">
        <v>41</v>
      </c>
      <c r="C43" s="20"/>
      <c r="D43" s="20"/>
      <c r="E43" s="20"/>
      <c r="F43" s="13"/>
      <c r="G43" s="24">
        <f>'załacznik 2'!J30</f>
        <v>0</v>
      </c>
      <c r="H43" s="25">
        <f>'załacznik 2'!K30</f>
        <v>0</v>
      </c>
      <c r="I43" s="24">
        <f>'załacznik 2'!L30</f>
        <v>0</v>
      </c>
      <c r="J43" s="24">
        <f>'załacznik 2'!M30</f>
        <v>0</v>
      </c>
      <c r="K43" s="24">
        <f>'załacznik 2'!N30</f>
        <v>0</v>
      </c>
      <c r="L43" s="24">
        <f>'załacznik 2'!O30</f>
        <v>0</v>
      </c>
      <c r="M43" s="24">
        <f>'załacznik 2'!X30</f>
        <v>0</v>
      </c>
      <c r="N43" s="24">
        <f>'załacznik 2'!Y30</f>
        <v>0</v>
      </c>
      <c r="O43" s="24">
        <f>'załacznik 2'!Z30</f>
        <v>0</v>
      </c>
      <c r="P43" s="24">
        <f>'załacznik 2'!AA30</f>
        <v>0</v>
      </c>
      <c r="Q43" s="24">
        <f>'załacznik 2'!AB30</f>
        <v>0</v>
      </c>
      <c r="R43" s="24">
        <f>'załacznik 2'!Z30</f>
        <v>0</v>
      </c>
      <c r="S43" s="24">
        <f>'załacznik 2'!AA30</f>
        <v>0</v>
      </c>
      <c r="T43" s="65"/>
      <c r="U43" s="47"/>
      <c r="V43" s="47"/>
      <c r="W43" s="47"/>
      <c r="X43" s="47"/>
      <c r="Y43" s="47"/>
      <c r="Z43" s="47"/>
    </row>
    <row r="44" spans="1:26" ht="33.75" customHeight="1">
      <c r="A44" s="16" t="s">
        <v>87</v>
      </c>
      <c r="B44" s="17" t="s">
        <v>88</v>
      </c>
      <c r="C44" s="20">
        <v>5093357</v>
      </c>
      <c r="D44" s="20">
        <v>11888305</v>
      </c>
      <c r="E44" s="20">
        <v>12950483.21</v>
      </c>
      <c r="F44" s="19">
        <f>H44/G44*100</f>
        <v>31.53482320970254</v>
      </c>
      <c r="G44" s="20">
        <f>12210581-G40</f>
        <v>9970089</v>
      </c>
      <c r="H44" s="21">
        <f>3144049.94-H40</f>
        <v>3144049.94</v>
      </c>
      <c r="I44" s="20">
        <f>6520951-I40</f>
        <v>887401</v>
      </c>
      <c r="J44" s="20">
        <v>0</v>
      </c>
      <c r="K44" s="23"/>
      <c r="L44" s="23"/>
      <c r="M44" s="23">
        <v>700000</v>
      </c>
      <c r="N44" s="23">
        <v>8600000</v>
      </c>
      <c r="O44" s="23">
        <v>5600000</v>
      </c>
      <c r="P44" s="23">
        <v>7500000</v>
      </c>
      <c r="Q44" s="23">
        <v>4000000</v>
      </c>
      <c r="R44" s="23">
        <v>4900001</v>
      </c>
      <c r="S44" s="23">
        <v>4900002</v>
      </c>
      <c r="T44" s="23"/>
      <c r="U44" s="47"/>
      <c r="V44" s="47"/>
      <c r="W44" s="47"/>
      <c r="X44" s="47"/>
      <c r="Y44" s="47"/>
      <c r="Z44" s="47"/>
    </row>
    <row r="45" spans="1:26" s="15" customFormat="1" ht="33.75" customHeight="1">
      <c r="A45" s="10" t="s">
        <v>89</v>
      </c>
      <c r="B45" s="11" t="s">
        <v>90</v>
      </c>
      <c r="C45" s="66">
        <v>749491</v>
      </c>
      <c r="D45" s="66">
        <f>8000000+2999160</f>
        <v>10999160</v>
      </c>
      <c r="E45" s="66">
        <f>8000000+500000+1507200+500000</f>
        <v>10507200</v>
      </c>
      <c r="F45" s="13">
        <f>H45/G45*100</f>
        <v>266.53606045640174</v>
      </c>
      <c r="G45" s="66">
        <v>11152632</v>
      </c>
      <c r="H45" s="66">
        <f>-(H6-H10+H20-H26-H39)</f>
        <v>29725785.970000003</v>
      </c>
      <c r="I45" s="66">
        <f>-(I6-I10+I20-I26-I39)</f>
        <v>449119.6099999882</v>
      </c>
      <c r="J45" s="66">
        <f>-(J6-J10+J20-J26-J39)</f>
        <v>5274177.9255000055</v>
      </c>
      <c r="K45" s="66">
        <f>-(K6-K10+K20-K26-K39)</f>
        <v>4481517.873264998</v>
      </c>
      <c r="L45" s="66"/>
      <c r="M45" s="66"/>
      <c r="N45" s="66"/>
      <c r="O45" s="66"/>
      <c r="P45" s="66"/>
      <c r="Q45" s="66"/>
      <c r="R45" s="66"/>
      <c r="S45" s="67"/>
      <c r="T45" s="67"/>
      <c r="U45" s="64"/>
      <c r="V45" s="64"/>
      <c r="W45" s="64"/>
      <c r="X45" s="64"/>
      <c r="Y45" s="64"/>
      <c r="Z45" s="64"/>
    </row>
    <row r="46" spans="1:26" s="53" customFormat="1" ht="46.5" customHeight="1">
      <c r="A46" s="68"/>
      <c r="B46" s="48" t="s">
        <v>66</v>
      </c>
      <c r="C46" s="48"/>
      <c r="D46" s="48"/>
      <c r="E46" s="48"/>
      <c r="F46" s="13"/>
      <c r="G46" s="57"/>
      <c r="H46" s="58"/>
      <c r="I46" s="49"/>
      <c r="J46" s="50"/>
      <c r="K46" s="50"/>
      <c r="L46" s="50"/>
      <c r="M46" s="51"/>
      <c r="N46" s="51"/>
      <c r="O46" s="51"/>
      <c r="P46" s="51"/>
      <c r="Q46" s="51"/>
      <c r="R46" s="51"/>
      <c r="S46" s="51"/>
      <c r="T46" s="51"/>
      <c r="U46" s="52"/>
      <c r="V46" s="52"/>
      <c r="W46" s="52"/>
      <c r="X46" s="52"/>
      <c r="Y46" s="52"/>
      <c r="Z46" s="52"/>
    </row>
    <row r="47" spans="1:26" s="15" customFormat="1" ht="49.5" customHeight="1">
      <c r="A47" s="10" t="s">
        <v>91</v>
      </c>
      <c r="B47" s="11" t="s">
        <v>92</v>
      </c>
      <c r="C47" s="12">
        <f>C38-C39+C45</f>
        <v>-172584</v>
      </c>
      <c r="D47" s="12">
        <f>D38-D39+D45</f>
        <v>881964.8800000027</v>
      </c>
      <c r="E47" s="12">
        <f>E38-E39+E45</f>
        <v>345790.1500000097</v>
      </c>
      <c r="F47" s="13">
        <v>0</v>
      </c>
      <c r="G47" s="12">
        <f>G38-G39+G45+G36</f>
        <v>3159987.390000012</v>
      </c>
      <c r="H47" s="12">
        <f>H38-H39+H45+H36</f>
        <v>0</v>
      </c>
      <c r="I47" s="12">
        <v>0</v>
      </c>
      <c r="J47" s="12">
        <f>J38-J39+J45</f>
        <v>0</v>
      </c>
      <c r="K47" s="12">
        <f>K38-K39+K45</f>
        <v>0</v>
      </c>
      <c r="L47" s="12">
        <f>L38-L39+L45</f>
        <v>735480.5536953807</v>
      </c>
      <c r="M47" s="12">
        <f>M38-M39+M45</f>
        <v>5897624.632673569</v>
      </c>
      <c r="N47" s="12">
        <f>N38-N39+N45</f>
        <v>3371293.3981133997</v>
      </c>
      <c r="O47" s="12">
        <f>O38-O39+O45</f>
        <v>3179586.0899557397</v>
      </c>
      <c r="P47" s="12">
        <f>P38-P39+P45</f>
        <v>924305.260958299</v>
      </c>
      <c r="Q47" s="12">
        <f>Q38-Q39+Q45</f>
        <v>2505369.984427586</v>
      </c>
      <c r="R47" s="12">
        <f>R38-R39+R45</f>
        <v>3970589.2802323103</v>
      </c>
      <c r="S47" s="12">
        <f>S38-S39+S45</f>
        <v>7797157.555057</v>
      </c>
      <c r="T47" s="12">
        <f>T38-T39+T45</f>
        <v>18650592.13837109</v>
      </c>
      <c r="U47" s="64"/>
      <c r="V47" s="64"/>
      <c r="W47" s="64"/>
      <c r="X47" s="64"/>
      <c r="Y47" s="64"/>
      <c r="Z47" s="64"/>
    </row>
    <row r="48" spans="1:26" ht="31.5" customHeight="1">
      <c r="A48" s="41" t="s">
        <v>93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7"/>
      <c r="V48" s="47"/>
      <c r="W48" s="47"/>
      <c r="X48" s="47"/>
      <c r="Y48" s="47"/>
      <c r="Z48" s="47"/>
    </row>
    <row r="49" spans="1:26" s="73" customFormat="1" ht="46.5" customHeight="1">
      <c r="A49" s="41" t="s">
        <v>2</v>
      </c>
      <c r="B49" s="41" t="s">
        <v>3</v>
      </c>
      <c r="C49" s="41" t="s">
        <v>4</v>
      </c>
      <c r="D49" s="41"/>
      <c r="E49" s="41"/>
      <c r="F49" s="69"/>
      <c r="G49" s="70" t="s">
        <v>5</v>
      </c>
      <c r="H49" s="69"/>
      <c r="I49" s="71" t="s">
        <v>94</v>
      </c>
      <c r="J49" s="43" t="s">
        <v>7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72"/>
      <c r="V49" s="72"/>
      <c r="W49" s="72"/>
      <c r="X49" s="72"/>
      <c r="Y49" s="72"/>
      <c r="Z49" s="72"/>
    </row>
    <row r="50" spans="1:26" s="73" customFormat="1" ht="33.75" customHeight="1">
      <c r="A50" s="41"/>
      <c r="B50" s="41"/>
      <c r="C50" s="41" t="s">
        <v>8</v>
      </c>
      <c r="D50" s="41" t="s">
        <v>9</v>
      </c>
      <c r="E50" s="41" t="s">
        <v>10</v>
      </c>
      <c r="F50" s="69"/>
      <c r="G50" s="70"/>
      <c r="H50" s="74"/>
      <c r="I50" s="71"/>
      <c r="J50" s="43" t="s">
        <v>13</v>
      </c>
      <c r="K50" s="43" t="s">
        <v>14</v>
      </c>
      <c r="L50" s="43" t="s">
        <v>15</v>
      </c>
      <c r="M50" s="43" t="s">
        <v>16</v>
      </c>
      <c r="N50" s="43" t="s">
        <v>17</v>
      </c>
      <c r="O50" s="43" t="s">
        <v>18</v>
      </c>
      <c r="P50" s="43" t="s">
        <v>19</v>
      </c>
      <c r="Q50" s="43" t="s">
        <v>20</v>
      </c>
      <c r="R50" s="43" t="s">
        <v>21</v>
      </c>
      <c r="S50" s="43" t="s">
        <v>22</v>
      </c>
      <c r="T50" s="43" t="s">
        <v>23</v>
      </c>
      <c r="U50" s="72"/>
      <c r="V50" s="72"/>
      <c r="W50" s="72"/>
      <c r="X50" s="72"/>
      <c r="Y50" s="72"/>
      <c r="Z50" s="72"/>
    </row>
    <row r="51" spans="1:26" s="1" customFormat="1" ht="19.5" customHeight="1">
      <c r="A51" s="16">
        <v>1</v>
      </c>
      <c r="B51" s="16">
        <v>2</v>
      </c>
      <c r="C51" s="16">
        <v>3</v>
      </c>
      <c r="D51" s="16">
        <v>4</v>
      </c>
      <c r="E51" s="16">
        <v>5</v>
      </c>
      <c r="F51" s="25">
        <v>6</v>
      </c>
      <c r="G51" s="16">
        <v>6</v>
      </c>
      <c r="H51" s="75">
        <v>8</v>
      </c>
      <c r="I51" s="16">
        <v>7</v>
      </c>
      <c r="J51" s="16">
        <v>8</v>
      </c>
      <c r="K51" s="16">
        <v>9</v>
      </c>
      <c r="L51" s="16">
        <v>10</v>
      </c>
      <c r="M51" s="16">
        <v>11</v>
      </c>
      <c r="N51" s="16">
        <v>12</v>
      </c>
      <c r="O51" s="16">
        <v>13</v>
      </c>
      <c r="P51" s="16">
        <v>14</v>
      </c>
      <c r="Q51" s="16">
        <v>15</v>
      </c>
      <c r="R51" s="16">
        <v>16</v>
      </c>
      <c r="S51" s="16">
        <v>17</v>
      </c>
      <c r="T51" s="16">
        <v>18</v>
      </c>
      <c r="U51" s="76"/>
      <c r="V51" s="76"/>
      <c r="W51" s="76"/>
      <c r="X51" s="76"/>
      <c r="Y51" s="76"/>
      <c r="Z51" s="76"/>
    </row>
    <row r="52" spans="1:26" s="15" customFormat="1" ht="33.75" customHeight="1">
      <c r="A52" s="10" t="s">
        <v>95</v>
      </c>
      <c r="B52" s="11" t="s">
        <v>96</v>
      </c>
      <c r="C52" s="66">
        <v>3116330</v>
      </c>
      <c r="D52" s="66">
        <f>C52+D45-D55</f>
        <v>12364923</v>
      </c>
      <c r="E52" s="66">
        <f>D52+E45-E55</f>
        <v>21364009</v>
      </c>
      <c r="F52" s="13">
        <f>H52/G52*100</f>
        <v>167.07149517068052</v>
      </c>
      <c r="G52" s="66">
        <f>E52+G45-G55+G54</f>
        <v>28367972</v>
      </c>
      <c r="H52" s="77">
        <f>E52+H45-H55</f>
        <v>47394794.97</v>
      </c>
      <c r="I52" s="66">
        <f>G52+I45-I55-G54+I54</f>
        <v>25022091.60999999</v>
      </c>
      <c r="J52" s="66">
        <f>I52+J45-J55-I54+J54</f>
        <v>26501269.535499994</v>
      </c>
      <c r="K52" s="66">
        <f>J52+K45-K55-J54+K54</f>
        <v>28387787.408764992</v>
      </c>
      <c r="L52" s="66">
        <f>K52+L45-L55-K54+L54</f>
        <v>25112738.408764992</v>
      </c>
      <c r="M52" s="66">
        <f>L52+M45-M55</f>
        <v>20893029.408764992</v>
      </c>
      <c r="N52" s="66">
        <f>M52+N45-N55</f>
        <v>16673320.408764992</v>
      </c>
      <c r="O52" s="66">
        <f>N52+O45-O55</f>
        <v>12004491.408764992</v>
      </c>
      <c r="P52" s="66">
        <f>O52+P45-P55</f>
        <v>7784782.408764992</v>
      </c>
      <c r="Q52" s="66">
        <f>P52+Q45-Q55</f>
        <v>4565073.408764992</v>
      </c>
      <c r="R52" s="66">
        <f>Q52+R45-R55</f>
        <v>1420364.408764992</v>
      </c>
      <c r="S52" s="12">
        <f>S55-R52</f>
        <v>0</v>
      </c>
      <c r="T52" s="12"/>
      <c r="U52" s="64"/>
      <c r="V52" s="64"/>
      <c r="W52" s="64"/>
      <c r="X52" s="64"/>
      <c r="Y52" s="64"/>
      <c r="Z52" s="64"/>
    </row>
    <row r="53" spans="1:26" s="53" customFormat="1" ht="46.5" customHeight="1">
      <c r="A53" s="68"/>
      <c r="B53" s="48" t="s">
        <v>75</v>
      </c>
      <c r="C53" s="78"/>
      <c r="D53" s="78"/>
      <c r="E53" s="78"/>
      <c r="F53" s="13"/>
      <c r="G53" s="57"/>
      <c r="H53" s="58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1"/>
      <c r="U53" s="52"/>
      <c r="V53" s="52"/>
      <c r="W53" s="52"/>
      <c r="X53" s="52"/>
      <c r="Y53" s="52"/>
      <c r="Z53" s="52"/>
    </row>
    <row r="54" spans="1:26" s="53" customFormat="1" ht="45" customHeight="1">
      <c r="A54" s="68"/>
      <c r="B54" s="79" t="s">
        <v>97</v>
      </c>
      <c r="C54" s="78"/>
      <c r="D54" s="78"/>
      <c r="E54" s="78"/>
      <c r="F54" s="13"/>
      <c r="G54" s="24">
        <v>340340</v>
      </c>
      <c r="H54" s="24">
        <f>95000*4</f>
        <v>380000</v>
      </c>
      <c r="I54" s="24">
        <f>G54-95000</f>
        <v>245340</v>
      </c>
      <c r="J54" s="24">
        <f>I54-95000</f>
        <v>150340</v>
      </c>
      <c r="K54" s="24">
        <f>J54-95000</f>
        <v>55340</v>
      </c>
      <c r="L54" s="57"/>
      <c r="M54" s="57"/>
      <c r="N54" s="57"/>
      <c r="O54" s="57"/>
      <c r="P54" s="57"/>
      <c r="Q54" s="57"/>
      <c r="R54" s="57"/>
      <c r="S54" s="57"/>
      <c r="T54" s="51"/>
      <c r="U54" s="52"/>
      <c r="V54" s="52"/>
      <c r="W54" s="52"/>
      <c r="X54" s="52"/>
      <c r="Y54" s="52"/>
      <c r="Z54" s="52"/>
    </row>
    <row r="55" spans="1:26" s="15" customFormat="1" ht="33.75" customHeight="1">
      <c r="A55" s="10" t="s">
        <v>98</v>
      </c>
      <c r="B55" s="11" t="s">
        <v>99</v>
      </c>
      <c r="C55" s="12">
        <f>C34</f>
        <v>1526687</v>
      </c>
      <c r="D55" s="12">
        <f>D34</f>
        <v>1750567</v>
      </c>
      <c r="E55" s="12">
        <f>E34</f>
        <v>1508114</v>
      </c>
      <c r="F55" s="13">
        <f>H55/G55*100</f>
        <v>82.31215397429588</v>
      </c>
      <c r="G55" s="12">
        <f>G34</f>
        <v>4489009</v>
      </c>
      <c r="H55" s="14">
        <f>H34</f>
        <v>3695000</v>
      </c>
      <c r="I55" s="12">
        <f>I34</f>
        <v>3700000</v>
      </c>
      <c r="J55" s="12">
        <f>J34</f>
        <v>3700000</v>
      </c>
      <c r="K55" s="12">
        <f>K34</f>
        <v>2500000</v>
      </c>
      <c r="L55" s="12">
        <f>L34</f>
        <v>3219709</v>
      </c>
      <c r="M55" s="12">
        <f>M34</f>
        <v>4219709</v>
      </c>
      <c r="N55" s="12">
        <f>N34</f>
        <v>4219709</v>
      </c>
      <c r="O55" s="12">
        <f>O34</f>
        <v>4668829</v>
      </c>
      <c r="P55" s="12">
        <f>P34</f>
        <v>4219709</v>
      </c>
      <c r="Q55" s="12">
        <f>Q34</f>
        <v>3219709</v>
      </c>
      <c r="R55" s="12">
        <f>R34</f>
        <v>3144709</v>
      </c>
      <c r="S55" s="12">
        <f>S34</f>
        <v>1420364.408764992</v>
      </c>
      <c r="T55" s="12">
        <f>T34</f>
        <v>0</v>
      </c>
      <c r="U55" s="64"/>
      <c r="V55" s="64"/>
      <c r="W55" s="64"/>
      <c r="X55" s="64"/>
      <c r="Y55" s="64"/>
      <c r="Z55" s="64"/>
    </row>
    <row r="56" spans="1:26" s="53" customFormat="1" ht="46.5" customHeight="1">
      <c r="A56" s="68"/>
      <c r="B56" s="48" t="s">
        <v>75</v>
      </c>
      <c r="C56" s="57"/>
      <c r="D56" s="57"/>
      <c r="E56" s="57"/>
      <c r="F56" s="13"/>
      <c r="G56" s="57"/>
      <c r="H56" s="58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2"/>
      <c r="V56" s="52"/>
      <c r="W56" s="52"/>
      <c r="X56" s="52"/>
      <c r="Y56" s="52"/>
      <c r="Z56" s="52"/>
    </row>
    <row r="57" spans="1:26" s="15" customFormat="1" ht="46.5" customHeight="1">
      <c r="A57" s="10" t="s">
        <v>100</v>
      </c>
      <c r="B57" s="11" t="s">
        <v>101</v>
      </c>
      <c r="C57" s="12">
        <f>C58+C59+C60+C61</f>
        <v>1526687</v>
      </c>
      <c r="D57" s="12">
        <f>D58+D59+D60+D61</f>
        <v>1750567</v>
      </c>
      <c r="E57" s="12">
        <f>E58+E59+E60+E61</f>
        <v>1508114</v>
      </c>
      <c r="F57" s="13">
        <f>H57/G57*100</f>
        <v>82.31215397429588</v>
      </c>
      <c r="G57" s="12">
        <f>G58+G59+G60+G61</f>
        <v>4489009</v>
      </c>
      <c r="H57" s="14">
        <f>H58+H59+H60+H61</f>
        <v>3695000</v>
      </c>
      <c r="I57" s="12">
        <f>I58+I59+I60+I61</f>
        <v>3700000</v>
      </c>
      <c r="J57" s="12">
        <f>J58+J59+J60+J61</f>
        <v>5274177.9255000055</v>
      </c>
      <c r="K57" s="12">
        <f>K58+K59+K60+K61</f>
        <v>2500000</v>
      </c>
      <c r="L57" s="12">
        <f>L58+L59+L60+L61</f>
        <v>3955189.5536953807</v>
      </c>
      <c r="M57" s="12">
        <f>M58+M59+M60+M61</f>
        <v>4219709</v>
      </c>
      <c r="N57" s="12">
        <f>N58+N59+N60+N61</f>
        <v>4219709</v>
      </c>
      <c r="O57" s="12">
        <f>O58+O59+O60+O61</f>
        <v>4668829</v>
      </c>
      <c r="P57" s="12">
        <f>P58+P59+P60+P61</f>
        <v>4219709</v>
      </c>
      <c r="Q57" s="12">
        <f>Q58+Q59+Q60+Q61</f>
        <v>3219709</v>
      </c>
      <c r="R57" s="12">
        <f>R58+R59+R60+R61</f>
        <v>3144709</v>
      </c>
      <c r="S57" s="12">
        <f>S58+S59+S60+S61</f>
        <v>1420364.408764992</v>
      </c>
      <c r="T57" s="12">
        <f>T58+T59+T60+T61</f>
        <v>0</v>
      </c>
      <c r="U57" s="64"/>
      <c r="V57" s="64"/>
      <c r="W57" s="64"/>
      <c r="X57" s="64"/>
      <c r="Y57" s="64"/>
      <c r="Z57" s="64"/>
    </row>
    <row r="58" spans="1:26" ht="43.5" customHeight="1">
      <c r="A58" s="16"/>
      <c r="B58" s="17" t="s">
        <v>102</v>
      </c>
      <c r="C58" s="20">
        <v>1026687</v>
      </c>
      <c r="D58" s="20"/>
      <c r="E58" s="20"/>
      <c r="F58" s="13"/>
      <c r="G58" s="20"/>
      <c r="H58" s="21"/>
      <c r="I58" s="20">
        <f>I82</f>
        <v>90893</v>
      </c>
      <c r="J58" s="20"/>
      <c r="K58" s="20"/>
      <c r="L58" s="20">
        <f>L82</f>
        <v>3955189.5536953807</v>
      </c>
      <c r="M58" s="20">
        <f>M55</f>
        <v>4219709</v>
      </c>
      <c r="N58" s="20">
        <f>N55</f>
        <v>4219709</v>
      </c>
      <c r="O58" s="20">
        <f>O55</f>
        <v>4668829</v>
      </c>
      <c r="P58" s="20">
        <f>P55</f>
        <v>4219709</v>
      </c>
      <c r="Q58" s="20">
        <f>Q55</f>
        <v>3219709</v>
      </c>
      <c r="R58" s="20">
        <f>R55</f>
        <v>3144709</v>
      </c>
      <c r="S58" s="20">
        <f>S55</f>
        <v>1420364.408764992</v>
      </c>
      <c r="T58" s="65"/>
      <c r="U58" s="47"/>
      <c r="V58" s="47"/>
      <c r="W58" s="47"/>
      <c r="X58" s="47"/>
      <c r="Y58" s="47"/>
      <c r="Z58" s="47"/>
    </row>
    <row r="59" spans="1:26" ht="33.75" customHeight="1">
      <c r="A59" s="16"/>
      <c r="B59" s="17" t="s">
        <v>103</v>
      </c>
      <c r="C59" s="20"/>
      <c r="D59" s="20"/>
      <c r="E59" s="20"/>
      <c r="F59" s="13"/>
      <c r="G59" s="20"/>
      <c r="H59" s="21"/>
      <c r="I59" s="80">
        <f>I22</f>
        <v>3159987.390000012</v>
      </c>
      <c r="J59" s="80">
        <f>J22</f>
        <v>0</v>
      </c>
      <c r="K59" s="80">
        <f>K22</f>
        <v>0</v>
      </c>
      <c r="L59" s="80">
        <f>L22</f>
        <v>0</v>
      </c>
      <c r="M59" s="80">
        <f>M22</f>
        <v>0</v>
      </c>
      <c r="N59" s="80">
        <f>N22</f>
        <v>0</v>
      </c>
      <c r="O59" s="81"/>
      <c r="P59" s="81"/>
      <c r="Q59" s="81"/>
      <c r="R59" s="81"/>
      <c r="S59" s="20"/>
      <c r="T59" s="20"/>
      <c r="U59" s="47"/>
      <c r="V59" s="47"/>
      <c r="W59" s="47"/>
      <c r="X59" s="47"/>
      <c r="Y59" s="47"/>
      <c r="Z59" s="47"/>
    </row>
    <row r="60" spans="1:26" ht="33.75" customHeight="1">
      <c r="A60" s="16"/>
      <c r="B60" s="17" t="s">
        <v>104</v>
      </c>
      <c r="C60" s="20"/>
      <c r="D60" s="20"/>
      <c r="E60" s="20"/>
      <c r="F60" s="13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7"/>
      <c r="V60" s="47"/>
      <c r="W60" s="47"/>
      <c r="X60" s="47"/>
      <c r="Y60" s="47"/>
      <c r="Z60" s="47"/>
    </row>
    <row r="61" spans="1:26" ht="33.75" customHeight="1">
      <c r="A61" s="16"/>
      <c r="B61" s="17" t="s">
        <v>105</v>
      </c>
      <c r="C61" s="18">
        <v>500000</v>
      </c>
      <c r="D61" s="20">
        <v>1750567</v>
      </c>
      <c r="E61" s="20">
        <f>E55</f>
        <v>1508114</v>
      </c>
      <c r="F61" s="19">
        <f>H61/G61*100</f>
        <v>82.31215397429588</v>
      </c>
      <c r="G61" s="20">
        <f>G55</f>
        <v>4489009</v>
      </c>
      <c r="H61" s="20">
        <f>H55</f>
        <v>3695000</v>
      </c>
      <c r="I61" s="20">
        <f>I55-I58-I59</f>
        <v>449119.6099999882</v>
      </c>
      <c r="J61" s="20">
        <f>J55-J82</f>
        <v>5274177.9255000055</v>
      </c>
      <c r="K61" s="20">
        <f>K55</f>
        <v>2500000</v>
      </c>
      <c r="L61" s="20"/>
      <c r="M61" s="20"/>
      <c r="N61" s="20"/>
      <c r="O61" s="20"/>
      <c r="P61" s="20"/>
      <c r="Q61" s="20"/>
      <c r="R61" s="20"/>
      <c r="S61" s="20"/>
      <c r="T61" s="20">
        <f>T55</f>
        <v>0</v>
      </c>
      <c r="U61" s="47"/>
      <c r="V61" s="47"/>
      <c r="W61" s="47"/>
      <c r="X61" s="47"/>
      <c r="Y61" s="47"/>
      <c r="Z61" s="47"/>
    </row>
    <row r="62" spans="1:26" s="15" customFormat="1" ht="33.75" customHeight="1">
      <c r="A62" s="10" t="s">
        <v>106</v>
      </c>
      <c r="B62" s="11" t="s">
        <v>107</v>
      </c>
      <c r="C62" s="12" t="s">
        <v>108</v>
      </c>
      <c r="D62" s="12" t="s">
        <v>108</v>
      </c>
      <c r="E62" s="12" t="s">
        <v>108</v>
      </c>
      <c r="F62" s="13" t="s">
        <v>108</v>
      </c>
      <c r="G62" s="12" t="s">
        <v>108</v>
      </c>
      <c r="H62" s="14" t="s">
        <v>108</v>
      </c>
      <c r="I62" s="12" t="s">
        <v>108</v>
      </c>
      <c r="J62" s="12" t="s">
        <v>108</v>
      </c>
      <c r="K62" s="12" t="s">
        <v>108</v>
      </c>
      <c r="L62" s="12" t="s">
        <v>108</v>
      </c>
      <c r="M62" s="12" t="s">
        <v>108</v>
      </c>
      <c r="N62" s="12" t="s">
        <v>108</v>
      </c>
      <c r="O62" s="12" t="s">
        <v>108</v>
      </c>
      <c r="P62" s="12" t="s">
        <v>108</v>
      </c>
      <c r="Q62" s="12" t="s">
        <v>108</v>
      </c>
      <c r="R62" s="12" t="s">
        <v>108</v>
      </c>
      <c r="S62" s="12" t="s">
        <v>108</v>
      </c>
      <c r="T62" s="12" t="s">
        <v>108</v>
      </c>
      <c r="U62" s="64"/>
      <c r="V62" s="64"/>
      <c r="W62" s="64"/>
      <c r="X62" s="64"/>
      <c r="Y62" s="64"/>
      <c r="Z62" s="64"/>
    </row>
    <row r="63" spans="1:26" s="53" customFormat="1" ht="46.5" customHeight="1">
      <c r="A63" s="68"/>
      <c r="B63" s="48" t="s">
        <v>75</v>
      </c>
      <c r="C63" s="57" t="s">
        <v>108</v>
      </c>
      <c r="D63" s="57" t="s">
        <v>108</v>
      </c>
      <c r="E63" s="57" t="s">
        <v>108</v>
      </c>
      <c r="F63" s="13" t="s">
        <v>108</v>
      </c>
      <c r="G63" s="12" t="s">
        <v>108</v>
      </c>
      <c r="H63" s="14" t="s">
        <v>108</v>
      </c>
      <c r="I63" s="12" t="s">
        <v>108</v>
      </c>
      <c r="J63" s="12" t="s">
        <v>108</v>
      </c>
      <c r="K63" s="12" t="s">
        <v>108</v>
      </c>
      <c r="L63" s="12" t="s">
        <v>108</v>
      </c>
      <c r="M63" s="12" t="s">
        <v>108</v>
      </c>
      <c r="N63" s="12" t="s">
        <v>108</v>
      </c>
      <c r="O63" s="12" t="s">
        <v>108</v>
      </c>
      <c r="P63" s="12" t="s">
        <v>108</v>
      </c>
      <c r="Q63" s="12" t="s">
        <v>108</v>
      </c>
      <c r="R63" s="12" t="s">
        <v>108</v>
      </c>
      <c r="S63" s="12" t="s">
        <v>108</v>
      </c>
      <c r="T63" s="12" t="s">
        <v>108</v>
      </c>
      <c r="U63" s="52"/>
      <c r="V63" s="52"/>
      <c r="W63" s="52"/>
      <c r="X63" s="52"/>
      <c r="Y63" s="52"/>
      <c r="Z63" s="52"/>
    </row>
    <row r="64" spans="1:26" s="15" customFormat="1" ht="33.75" customHeight="1">
      <c r="A64" s="10" t="s">
        <v>109</v>
      </c>
      <c r="B64" s="11" t="s">
        <v>110</v>
      </c>
      <c r="C64" s="12" t="s">
        <v>108</v>
      </c>
      <c r="D64" s="12" t="s">
        <v>108</v>
      </c>
      <c r="E64" s="12" t="s">
        <v>108</v>
      </c>
      <c r="F64" s="13" t="s">
        <v>108</v>
      </c>
      <c r="G64" s="12" t="s">
        <v>108</v>
      </c>
      <c r="H64" s="14" t="s">
        <v>108</v>
      </c>
      <c r="I64" s="12" t="s">
        <v>108</v>
      </c>
      <c r="J64" s="12" t="s">
        <v>108</v>
      </c>
      <c r="K64" s="12" t="s">
        <v>108</v>
      </c>
      <c r="L64" s="12" t="s">
        <v>108</v>
      </c>
      <c r="M64" s="12" t="s">
        <v>108</v>
      </c>
      <c r="N64" s="12" t="s">
        <v>108</v>
      </c>
      <c r="O64" s="12" t="s">
        <v>108</v>
      </c>
      <c r="P64" s="12" t="s">
        <v>108</v>
      </c>
      <c r="Q64" s="12" t="s">
        <v>108</v>
      </c>
      <c r="R64" s="12" t="s">
        <v>108</v>
      </c>
      <c r="S64" s="12" t="s">
        <v>108</v>
      </c>
      <c r="T64" s="12" t="s">
        <v>108</v>
      </c>
      <c r="U64" s="64"/>
      <c r="V64" s="64"/>
      <c r="W64" s="64"/>
      <c r="X64" s="64"/>
      <c r="Y64" s="64"/>
      <c r="Z64" s="64"/>
    </row>
    <row r="65" spans="1:26" s="53" customFormat="1" ht="46.5" customHeight="1">
      <c r="A65" s="68"/>
      <c r="B65" s="48" t="s">
        <v>75</v>
      </c>
      <c r="C65" s="57" t="s">
        <v>108</v>
      </c>
      <c r="D65" s="57" t="s">
        <v>108</v>
      </c>
      <c r="E65" s="57" t="s">
        <v>108</v>
      </c>
      <c r="F65" s="13" t="s">
        <v>108</v>
      </c>
      <c r="G65" s="12" t="s">
        <v>108</v>
      </c>
      <c r="H65" s="14" t="s">
        <v>108</v>
      </c>
      <c r="I65" s="12" t="s">
        <v>108</v>
      </c>
      <c r="J65" s="12" t="s">
        <v>108</v>
      </c>
      <c r="K65" s="12" t="s">
        <v>108</v>
      </c>
      <c r="L65" s="12" t="s">
        <v>108</v>
      </c>
      <c r="M65" s="12" t="s">
        <v>108</v>
      </c>
      <c r="N65" s="12" t="s">
        <v>108</v>
      </c>
      <c r="O65" s="12" t="s">
        <v>108</v>
      </c>
      <c r="P65" s="12" t="s">
        <v>108</v>
      </c>
      <c r="Q65" s="12" t="s">
        <v>108</v>
      </c>
      <c r="R65" s="12" t="s">
        <v>108</v>
      </c>
      <c r="S65" s="12" t="s">
        <v>108</v>
      </c>
      <c r="T65" s="12" t="s">
        <v>108</v>
      </c>
      <c r="U65" s="52"/>
      <c r="V65" s="52"/>
      <c r="W65" s="52"/>
      <c r="X65" s="52"/>
      <c r="Y65" s="52"/>
      <c r="Z65" s="52"/>
    </row>
    <row r="66" spans="1:26" s="15" customFormat="1" ht="31.5" customHeight="1">
      <c r="A66" s="10" t="s">
        <v>111</v>
      </c>
      <c r="B66" s="11" t="s">
        <v>112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64"/>
      <c r="V66" s="64"/>
      <c r="W66" s="64"/>
      <c r="X66" s="64"/>
      <c r="Y66" s="64"/>
      <c r="Z66" s="64"/>
    </row>
    <row r="67" spans="1:26" ht="45" customHeight="1">
      <c r="A67" s="16" t="s">
        <v>113</v>
      </c>
      <c r="B67" s="17" t="s">
        <v>114</v>
      </c>
      <c r="C67" s="82">
        <f>C26/C6</f>
        <v>0.043607876423916184</v>
      </c>
      <c r="D67" s="82">
        <f>D26/D6</f>
        <v>0.052143237760637694</v>
      </c>
      <c r="E67" s="82">
        <f>E26/E6</f>
        <v>0.048208367159789635</v>
      </c>
      <c r="F67" s="19"/>
      <c r="G67" s="82">
        <f>G26/G6</f>
        <v>0.11308392940198095</v>
      </c>
      <c r="H67" s="83"/>
      <c r="I67" s="82">
        <f>I26/I6</f>
        <v>0.11207074507117298</v>
      </c>
      <c r="J67" s="82">
        <f>J26/J6</f>
        <v>0.11566181880625925</v>
      </c>
      <c r="K67" s="24" t="s">
        <v>108</v>
      </c>
      <c r="L67" s="24" t="s">
        <v>108</v>
      </c>
      <c r="M67" s="12" t="s">
        <v>108</v>
      </c>
      <c r="N67" s="12" t="s">
        <v>108</v>
      </c>
      <c r="O67" s="12" t="s">
        <v>108</v>
      </c>
      <c r="P67" s="12" t="s">
        <v>108</v>
      </c>
      <c r="Q67" s="12" t="s">
        <v>108</v>
      </c>
      <c r="R67" s="12" t="s">
        <v>108</v>
      </c>
      <c r="S67" s="12" t="s">
        <v>108</v>
      </c>
      <c r="T67" s="12" t="s">
        <v>108</v>
      </c>
      <c r="U67" s="47"/>
      <c r="V67" s="47"/>
      <c r="W67" s="47"/>
      <c r="X67" s="47"/>
      <c r="Y67" s="47"/>
      <c r="Z67" s="47"/>
    </row>
    <row r="68" spans="1:26" s="46" customFormat="1" ht="46.5" customHeight="1">
      <c r="A68" s="16"/>
      <c r="B68" s="48" t="s">
        <v>115</v>
      </c>
      <c r="C68" s="84">
        <f>(C26-C29-C31-C33-C35)/C6</f>
        <v>0.043607876423916184</v>
      </c>
      <c r="D68" s="84">
        <f>(D26-D29-D31-D33-D35)/D6</f>
        <v>0.052143237760637694</v>
      </c>
      <c r="E68" s="84">
        <f>(E26-E29-E31-E33-E35)/E6</f>
        <v>0.048208367159789635</v>
      </c>
      <c r="F68" s="19"/>
      <c r="G68" s="84">
        <f>(G26-G29-G31-G33-G35)/G6</f>
        <v>0.11308392940198095</v>
      </c>
      <c r="H68" s="85"/>
      <c r="I68" s="84">
        <f>(I26-I29-I31-I33-I35)/I6</f>
        <v>0.11207074507117298</v>
      </c>
      <c r="J68" s="84">
        <f>(J26-J29-J31-J33-J35)/J6</f>
        <v>0.11566181880625925</v>
      </c>
      <c r="K68" s="57" t="s">
        <v>108</v>
      </c>
      <c r="L68" s="57" t="s">
        <v>108</v>
      </c>
      <c r="M68" s="86" t="s">
        <v>108</v>
      </c>
      <c r="N68" s="86" t="s">
        <v>108</v>
      </c>
      <c r="O68" s="86" t="s">
        <v>108</v>
      </c>
      <c r="P68" s="86" t="s">
        <v>108</v>
      </c>
      <c r="Q68" s="86" t="s">
        <v>108</v>
      </c>
      <c r="R68" s="86" t="s">
        <v>108</v>
      </c>
      <c r="S68" s="86" t="s">
        <v>108</v>
      </c>
      <c r="T68" s="86" t="s">
        <v>108</v>
      </c>
      <c r="U68" s="45"/>
      <c r="V68" s="45"/>
      <c r="W68" s="45"/>
      <c r="X68" s="45"/>
      <c r="Y68" s="45"/>
      <c r="Z68" s="45"/>
    </row>
    <row r="69" spans="1:26" ht="45" customHeight="1">
      <c r="A69" s="16" t="s">
        <v>116</v>
      </c>
      <c r="B69" s="17" t="s">
        <v>117</v>
      </c>
      <c r="C69" s="82">
        <f>C52/C6</f>
        <v>0.07641471109899568</v>
      </c>
      <c r="D69" s="82">
        <f>D52/D6</f>
        <v>0.2969044982699002</v>
      </c>
      <c r="E69" s="82">
        <f>E52/E6</f>
        <v>0.4532995904536679</v>
      </c>
      <c r="F69" s="19"/>
      <c r="G69" s="82">
        <f>G52/G6</f>
        <v>0.5574244292792174</v>
      </c>
      <c r="H69" s="83"/>
      <c r="I69" s="82">
        <f>I52/I6</f>
        <v>0.45437898741490373</v>
      </c>
      <c r="J69" s="82">
        <f>J52/J6</f>
        <v>0.4788837565640749</v>
      </c>
      <c r="K69" s="24" t="s">
        <v>108</v>
      </c>
      <c r="L69" s="24" t="s">
        <v>108</v>
      </c>
      <c r="M69" s="12" t="s">
        <v>108</v>
      </c>
      <c r="N69" s="12" t="s">
        <v>108</v>
      </c>
      <c r="O69" s="12" t="s">
        <v>108</v>
      </c>
      <c r="P69" s="12" t="s">
        <v>108</v>
      </c>
      <c r="Q69" s="12" t="s">
        <v>108</v>
      </c>
      <c r="R69" s="12" t="s">
        <v>108</v>
      </c>
      <c r="S69" s="12" t="s">
        <v>108</v>
      </c>
      <c r="T69" s="12" t="s">
        <v>108</v>
      </c>
      <c r="U69" s="47"/>
      <c r="V69" s="47"/>
      <c r="W69" s="47"/>
      <c r="X69" s="47"/>
      <c r="Y69" s="47"/>
      <c r="Z69" s="47"/>
    </row>
    <row r="70" spans="1:26" s="46" customFormat="1" ht="46.5" customHeight="1">
      <c r="A70" s="16"/>
      <c r="B70" s="48" t="s">
        <v>118</v>
      </c>
      <c r="C70" s="84">
        <f>(C52-C53)/C6</f>
        <v>0.07641471109899568</v>
      </c>
      <c r="D70" s="84">
        <f>(D52-D53)/D6</f>
        <v>0.2969044982699002</v>
      </c>
      <c r="E70" s="84">
        <f>(E52-E53)/E6</f>
        <v>0.4532995904536679</v>
      </c>
      <c r="F70" s="19"/>
      <c r="G70" s="84">
        <f>(G52-G53)/G6</f>
        <v>0.5574244292792174</v>
      </c>
      <c r="H70" s="85"/>
      <c r="I70" s="84">
        <f>(I52-I53)/I6</f>
        <v>0.45437898741490373</v>
      </c>
      <c r="J70" s="84">
        <f>(J52-J53)/J6</f>
        <v>0.4788837565640749</v>
      </c>
      <c r="K70" s="57" t="s">
        <v>108</v>
      </c>
      <c r="L70" s="57" t="s">
        <v>108</v>
      </c>
      <c r="M70" s="86" t="s">
        <v>108</v>
      </c>
      <c r="N70" s="86" t="s">
        <v>108</v>
      </c>
      <c r="O70" s="86" t="s">
        <v>108</v>
      </c>
      <c r="P70" s="86" t="s">
        <v>108</v>
      </c>
      <c r="Q70" s="86" t="s">
        <v>108</v>
      </c>
      <c r="R70" s="86" t="s">
        <v>108</v>
      </c>
      <c r="S70" s="86" t="s">
        <v>108</v>
      </c>
      <c r="T70" s="86" t="s">
        <v>108</v>
      </c>
      <c r="U70" s="45"/>
      <c r="V70" s="45"/>
      <c r="W70" s="45"/>
      <c r="X70" s="45"/>
      <c r="Y70" s="45"/>
      <c r="Z70" s="45"/>
    </row>
    <row r="71" spans="1:26" ht="45" customHeight="1">
      <c r="A71" s="16" t="s">
        <v>119</v>
      </c>
      <c r="B71" s="17" t="s">
        <v>120</v>
      </c>
      <c r="C71" s="82">
        <f>(C7+C9-C10-C27)/C6</f>
        <v>0.12102774161037053</v>
      </c>
      <c r="D71" s="82">
        <f>(D7+D9-D10-D27)/D6</f>
        <v>0.07243153112001804</v>
      </c>
      <c r="E71" s="82">
        <f>(E7+E9-E10-E27)/E6</f>
        <v>0.03262603501472738</v>
      </c>
      <c r="F71" s="19"/>
      <c r="G71" s="82">
        <f>(G7+G9-G10-G27)/G6</f>
        <v>0.11678016024677176</v>
      </c>
      <c r="H71" s="83"/>
      <c r="I71" s="82">
        <f>(I7+I9-I10-I27)/I6</f>
        <v>0.07764333683560579</v>
      </c>
      <c r="J71" s="82">
        <f>(J7+J9-J10-J27)/J6</f>
        <v>0.0799612826483915</v>
      </c>
      <c r="K71" s="82">
        <f>(K7+K9-K10-K27)/K6</f>
        <v>0.13010444651260264</v>
      </c>
      <c r="L71" s="82">
        <f>(L7+L9-L10-L27)/L6</f>
        <v>0.16325450229208738</v>
      </c>
      <c r="M71" s="82">
        <f>(M7+M9-M10-M27)/M6</f>
        <v>0.18045168680215606</v>
      </c>
      <c r="N71" s="82">
        <f>(N7+N9-N10-N27)/N6</f>
        <v>0.17594644543911034</v>
      </c>
      <c r="O71" s="82">
        <f>(O7+O9-O10-O27)/O6</f>
        <v>0.16489842159157822</v>
      </c>
      <c r="P71" s="82">
        <f>(P7+P9-P10-P27)/P6</f>
        <v>0.15582594974311778</v>
      </c>
      <c r="Q71" s="82">
        <f>(Q7+Q9-Q10-Q27)/Q6</f>
        <v>0.14559190830387284</v>
      </c>
      <c r="R71" s="82">
        <f>(R7+R9-R10-R27)/R6</f>
        <v>0.15499854781759417</v>
      </c>
      <c r="S71" s="82">
        <f>(S7+S9-S10-S27)/S6</f>
        <v>0.16293679288857715</v>
      </c>
      <c r="T71" s="82">
        <f>(T7+T9-T10-T27)/T6</f>
        <v>0.1717059915089028</v>
      </c>
      <c r="U71" s="47"/>
      <c r="V71" s="47"/>
      <c r="W71" s="47"/>
      <c r="X71" s="47"/>
      <c r="Y71" s="47"/>
      <c r="Z71" s="47"/>
    </row>
    <row r="72" spans="1:26" ht="45" customHeight="1">
      <c r="A72" s="16" t="s">
        <v>121</v>
      </c>
      <c r="B72" s="17" t="s">
        <v>122</v>
      </c>
      <c r="C72" s="82" t="s">
        <v>108</v>
      </c>
      <c r="D72" s="82" t="s">
        <v>108</v>
      </c>
      <c r="E72" s="82" t="s">
        <v>108</v>
      </c>
      <c r="F72" s="19"/>
      <c r="G72" s="82">
        <f>(C71+D71+E71)/3</f>
        <v>0.07536176924837198</v>
      </c>
      <c r="H72" s="83"/>
      <c r="I72" s="82">
        <f>(D71+E71+G71)/3</f>
        <v>0.07394590879383907</v>
      </c>
      <c r="J72" s="82">
        <f>(E71+G71+I71)/3</f>
        <v>0.07568317736570164</v>
      </c>
      <c r="K72" s="82">
        <f>(G71+I71+J71)/3</f>
        <v>0.09146159324358967</v>
      </c>
      <c r="L72" s="82">
        <f>(I71+J71+K71)/3</f>
        <v>0.09590302199886665</v>
      </c>
      <c r="M72" s="82">
        <f>(J71+K71+L71)/3</f>
        <v>0.12444007715102717</v>
      </c>
      <c r="N72" s="82">
        <f>(K71+L71+M71)/3</f>
        <v>0.15793687853561536</v>
      </c>
      <c r="O72" s="82">
        <f>(L71+M71+N71)/3</f>
        <v>0.17321754484445126</v>
      </c>
      <c r="P72" s="82">
        <f>(M71+N71+O71)/3</f>
        <v>0.17376551794428152</v>
      </c>
      <c r="Q72" s="82">
        <f>(N71+O71+P71)/3</f>
        <v>0.1655569389246021</v>
      </c>
      <c r="R72" s="82">
        <f>(O71+P71+Q71)/3</f>
        <v>0.15543875987952294</v>
      </c>
      <c r="S72" s="82">
        <f>(P71+Q71+R71)/3</f>
        <v>0.1521388019548616</v>
      </c>
      <c r="T72" s="82">
        <f>(Q71+R71+S71)/3</f>
        <v>0.15450908300334806</v>
      </c>
      <c r="U72" s="47"/>
      <c r="V72" s="47"/>
      <c r="W72" s="47"/>
      <c r="X72" s="47"/>
      <c r="Y72" s="47"/>
      <c r="Z72" s="47"/>
    </row>
    <row r="73" spans="1:26" ht="45" customHeight="1">
      <c r="A73" s="16" t="s">
        <v>123</v>
      </c>
      <c r="B73" s="17" t="s">
        <v>124</v>
      </c>
      <c r="C73" s="82" t="s">
        <v>108</v>
      </c>
      <c r="D73" s="82" t="s">
        <v>108</v>
      </c>
      <c r="E73" s="82" t="s">
        <v>108</v>
      </c>
      <c r="F73" s="19"/>
      <c r="G73" s="82">
        <f>G26/G6</f>
        <v>0.11308392940198095</v>
      </c>
      <c r="H73" s="83"/>
      <c r="I73" s="82">
        <f>I26/I6</f>
        <v>0.11207074507117298</v>
      </c>
      <c r="J73" s="82">
        <f>J26/J6</f>
        <v>0.11566181880625925</v>
      </c>
      <c r="K73" s="82">
        <f>K26/K6</f>
        <v>0.09007335620757644</v>
      </c>
      <c r="L73" s="82">
        <f>L26/L6</f>
        <v>0.09578980211085464</v>
      </c>
      <c r="M73" s="82">
        <f>M26/M6</f>
        <v>0.10499527976718097</v>
      </c>
      <c r="N73" s="82">
        <f>N26/N6</f>
        <v>0.1005060178955113</v>
      </c>
      <c r="O73" s="82">
        <f>O26/O6</f>
        <v>0.10748349252414494</v>
      </c>
      <c r="P73" s="82">
        <f>P26/P6</f>
        <v>0.09657162818427746</v>
      </c>
      <c r="Q73" s="82">
        <f>Q26/Q6</f>
        <v>0.07844962037768101</v>
      </c>
      <c r="R73" s="82">
        <f>R26/R6</f>
        <v>0.07108030362995423</v>
      </c>
      <c r="S73" s="82">
        <f>S26/S6</f>
        <v>0.03871409877643321</v>
      </c>
      <c r="T73" s="82">
        <f>T26/T6</f>
        <v>0.011127456959419427</v>
      </c>
      <c r="U73" s="47"/>
      <c r="V73" s="47"/>
      <c r="W73" s="47"/>
      <c r="X73" s="47"/>
      <c r="Y73" s="47"/>
      <c r="Z73" s="47"/>
    </row>
    <row r="74" spans="1:26" s="46" customFormat="1" ht="46.5" customHeight="1">
      <c r="A74" s="16"/>
      <c r="B74" s="48" t="s">
        <v>125</v>
      </c>
      <c r="C74" s="82" t="s">
        <v>108</v>
      </c>
      <c r="D74" s="82" t="s">
        <v>108</v>
      </c>
      <c r="E74" s="82" t="s">
        <v>108</v>
      </c>
      <c r="F74" s="19"/>
      <c r="G74" s="84">
        <f>(G26-G29-G31-G33-G35)/G6</f>
        <v>0.11308392940198095</v>
      </c>
      <c r="H74" s="85"/>
      <c r="I74" s="84">
        <f>(I26-I29-I31-I33-I35)/I6</f>
        <v>0.11207074507117298</v>
      </c>
      <c r="J74" s="84">
        <f>(J26-J29-J31-J33-J35)/J6</f>
        <v>0.11566181880625925</v>
      </c>
      <c r="K74" s="84">
        <f>(K26-K29-K31-K33-K35)/K6</f>
        <v>0.09007335620757644</v>
      </c>
      <c r="L74" s="84">
        <f>(L26-L29-L31-L33-L35)/L6</f>
        <v>0.09578980211085464</v>
      </c>
      <c r="M74" s="84">
        <f>(M26-M29-M31-M33-M35)/M6</f>
        <v>0.10499527976718097</v>
      </c>
      <c r="N74" s="84">
        <f>(N26-N29-N31-N33-N35)/N6</f>
        <v>0.1005060178955113</v>
      </c>
      <c r="O74" s="84">
        <f>(O26-O29-O31-O33-O35)/O6</f>
        <v>0.10748349252414494</v>
      </c>
      <c r="P74" s="84">
        <f>(P26-P29-P31-P33-P35)/P6</f>
        <v>0.09657162818427746</v>
      </c>
      <c r="Q74" s="84">
        <f>(Q26-Q29-Q31-Q33-Q35)/Q6</f>
        <v>0.07844962037768101</v>
      </c>
      <c r="R74" s="84">
        <f>(R26-R29-R31-R33-R35)/R6</f>
        <v>0.07108030362995423</v>
      </c>
      <c r="S74" s="84">
        <f>(S26-S29-S31-S33-S35)/S6</f>
        <v>0.03871409877643321</v>
      </c>
      <c r="T74" s="84">
        <f>(T26-T29-T31-T33-T35)/T6</f>
        <v>0.011127456959419427</v>
      </c>
      <c r="U74" s="45"/>
      <c r="V74" s="45"/>
      <c r="W74" s="45"/>
      <c r="X74" s="45"/>
      <c r="Y74" s="45"/>
      <c r="Z74" s="45"/>
    </row>
    <row r="75" spans="1:26" ht="17.25" customHeight="1">
      <c r="A75" s="41" t="s">
        <v>126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7"/>
      <c r="V75" s="47"/>
      <c r="W75" s="47"/>
      <c r="X75" s="47"/>
      <c r="Y75" s="47"/>
      <c r="Z75" s="47"/>
    </row>
    <row r="76" spans="1:26" s="88" customFormat="1" ht="32.25" customHeight="1">
      <c r="A76" s="41" t="s">
        <v>2</v>
      </c>
      <c r="B76" s="41" t="s">
        <v>3</v>
      </c>
      <c r="C76" s="41" t="s">
        <v>4</v>
      </c>
      <c r="D76" s="41"/>
      <c r="E76" s="41"/>
      <c r="F76" s="44"/>
      <c r="G76" s="41" t="s">
        <v>5</v>
      </c>
      <c r="H76" s="44"/>
      <c r="I76" s="5" t="s">
        <v>6</v>
      </c>
      <c r="J76" s="43" t="s">
        <v>7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87"/>
      <c r="V76" s="87"/>
      <c r="W76" s="87"/>
      <c r="X76" s="87"/>
      <c r="Y76" s="87"/>
      <c r="Z76" s="87"/>
    </row>
    <row r="77" spans="1:26" s="88" customFormat="1" ht="19.5" customHeight="1">
      <c r="A77" s="41"/>
      <c r="B77" s="41"/>
      <c r="C77" s="41" t="s">
        <v>8</v>
      </c>
      <c r="D77" s="41" t="s">
        <v>9</v>
      </c>
      <c r="E77" s="41" t="s">
        <v>10</v>
      </c>
      <c r="F77" s="69"/>
      <c r="G77" s="41"/>
      <c r="H77" s="74"/>
      <c r="I77" s="5"/>
      <c r="J77" s="43" t="s">
        <v>13</v>
      </c>
      <c r="K77" s="43" t="s">
        <v>14</v>
      </c>
      <c r="L77" s="43" t="s">
        <v>15</v>
      </c>
      <c r="M77" s="43" t="s">
        <v>16</v>
      </c>
      <c r="N77" s="43" t="s">
        <v>17</v>
      </c>
      <c r="O77" s="43" t="s">
        <v>18</v>
      </c>
      <c r="P77" s="43" t="s">
        <v>19</v>
      </c>
      <c r="Q77" s="43" t="s">
        <v>20</v>
      </c>
      <c r="R77" s="43" t="s">
        <v>21</v>
      </c>
      <c r="S77" s="43" t="s">
        <v>22</v>
      </c>
      <c r="T77" s="43" t="s">
        <v>23</v>
      </c>
      <c r="U77" s="87"/>
      <c r="V77" s="87"/>
      <c r="W77" s="87"/>
      <c r="X77" s="87"/>
      <c r="Y77" s="87"/>
      <c r="Z77" s="87"/>
    </row>
    <row r="78" spans="1:26" s="1" customFormat="1" ht="19.5" customHeight="1">
      <c r="A78" s="16">
        <v>1</v>
      </c>
      <c r="B78" s="16">
        <v>2</v>
      </c>
      <c r="C78" s="16">
        <v>3</v>
      </c>
      <c r="D78" s="16">
        <v>4</v>
      </c>
      <c r="E78" s="16">
        <v>5</v>
      </c>
      <c r="F78" s="25">
        <v>6</v>
      </c>
      <c r="G78" s="16">
        <v>6</v>
      </c>
      <c r="H78" s="75">
        <v>8</v>
      </c>
      <c r="I78" s="16">
        <v>7</v>
      </c>
      <c r="J78" s="16">
        <v>8</v>
      </c>
      <c r="K78" s="16">
        <v>9</v>
      </c>
      <c r="L78" s="16">
        <v>10</v>
      </c>
      <c r="M78" s="16">
        <v>11</v>
      </c>
      <c r="N78" s="16">
        <v>12</v>
      </c>
      <c r="O78" s="16">
        <v>13</v>
      </c>
      <c r="P78" s="16">
        <v>14</v>
      </c>
      <c r="Q78" s="16">
        <v>15</v>
      </c>
      <c r="R78" s="16">
        <v>16</v>
      </c>
      <c r="S78" s="16">
        <v>17</v>
      </c>
      <c r="T78" s="16">
        <v>18</v>
      </c>
      <c r="U78" s="76"/>
      <c r="V78" s="76"/>
      <c r="W78" s="76"/>
      <c r="X78" s="76"/>
      <c r="Y78" s="76"/>
      <c r="Z78" s="76"/>
    </row>
    <row r="79" spans="1:26" s="46" customFormat="1" ht="35.25" customHeight="1">
      <c r="A79" s="41" t="s">
        <v>127</v>
      </c>
      <c r="B79" s="42" t="s">
        <v>25</v>
      </c>
      <c r="C79" s="43">
        <f>C6</f>
        <v>40781807</v>
      </c>
      <c r="D79" s="43">
        <f>D6</f>
        <v>41646128.88</v>
      </c>
      <c r="E79" s="43">
        <f>E6</f>
        <v>47129998.46</v>
      </c>
      <c r="F79" s="13">
        <f>H79/G79*100</f>
        <v>49.897635243504006</v>
      </c>
      <c r="G79" s="43">
        <f>G6</f>
        <v>50891153.15</v>
      </c>
      <c r="H79" s="44">
        <f>H6</f>
        <v>25393481.97</v>
      </c>
      <c r="I79" s="43">
        <f>I6</f>
        <v>55068769.25</v>
      </c>
      <c r="J79" s="43">
        <f>J6</f>
        <v>55339671</v>
      </c>
      <c r="K79" s="43">
        <f>K6</f>
        <v>59128295.25</v>
      </c>
      <c r="L79" s="43">
        <f>L6</f>
        <v>60718561.59875</v>
      </c>
      <c r="M79" s="43">
        <f>M6</f>
        <v>60303415.67773125</v>
      </c>
      <c r="N79" s="43">
        <f>N6</f>
        <v>60207966.91289722</v>
      </c>
      <c r="O79" s="43">
        <f>O6</f>
        <v>61111086.41659068</v>
      </c>
      <c r="P79" s="43">
        <f>P6</f>
        <v>60737176.23158954</v>
      </c>
      <c r="Q79" s="43">
        <f>Q6</f>
        <v>60448233.87506338</v>
      </c>
      <c r="R79" s="43">
        <f>R6</f>
        <v>61354957.383189335</v>
      </c>
      <c r="S79" s="43">
        <f>S6</f>
        <v>62275281.74393718</v>
      </c>
      <c r="T79" s="43">
        <f>T6</f>
        <v>63209410.97009623</v>
      </c>
      <c r="U79" s="45"/>
      <c r="V79" s="45"/>
      <c r="W79" s="45"/>
      <c r="X79" s="45"/>
      <c r="Y79" s="45"/>
      <c r="Z79" s="45"/>
    </row>
    <row r="80" spans="1:26" s="46" customFormat="1" ht="35.25" customHeight="1">
      <c r="A80" s="41" t="s">
        <v>128</v>
      </c>
      <c r="B80" s="42" t="s">
        <v>129</v>
      </c>
      <c r="C80" s="43">
        <f>C10+C27+C39</f>
        <v>40722984</v>
      </c>
      <c r="D80" s="43">
        <f>D10+D27+D39</f>
        <v>49843941</v>
      </c>
      <c r="E80" s="43">
        <f>E10+E27+E39</f>
        <v>56669027.19</v>
      </c>
      <c r="F80" s="13">
        <f>H80/G80*100</f>
        <v>93.93530262502131</v>
      </c>
      <c r="G80" s="43">
        <f>G10+G27+G39</f>
        <v>54744346.91</v>
      </c>
      <c r="H80" s="44">
        <f>H10+H27+H39</f>
        <v>51424267.94</v>
      </c>
      <c r="I80" s="43">
        <f>I10+I27+I39</f>
        <v>54977876.25</v>
      </c>
      <c r="J80" s="43">
        <f>J10+J27+J39</f>
        <v>56913848.925500005</v>
      </c>
      <c r="K80" s="43">
        <f>K10+K27+K39</f>
        <v>61109813.123265</v>
      </c>
      <c r="L80" s="43">
        <f>L10+L27+L39</f>
        <v>56763372.04505462</v>
      </c>
      <c r="M80" s="43">
        <f>M10+M27+M39</f>
        <v>50921562.598753065</v>
      </c>
      <c r="N80" s="43">
        <f>N10+N27+N39</f>
        <v>58514589.14745739</v>
      </c>
      <c r="O80" s="43">
        <f>O10+O27+O39</f>
        <v>56633964.72474834</v>
      </c>
      <c r="P80" s="43">
        <f>P10+P27+P39</f>
        <v>58772748.06058698</v>
      </c>
      <c r="Q80" s="43">
        <f>Q10+Q27+Q39</f>
        <v>55647460.151594095</v>
      </c>
      <c r="R80" s="43">
        <f>R10+R27+R39</f>
        <v>56745029.08738461</v>
      </c>
      <c r="S80" s="43">
        <f>S10+S27+S39</f>
        <v>57028349.0603475</v>
      </c>
      <c r="T80" s="43">
        <f>T10+T27+T39</f>
        <v>52355976.38678214</v>
      </c>
      <c r="U80" s="45"/>
      <c r="V80" s="45"/>
      <c r="W80" s="45"/>
      <c r="X80" s="45"/>
      <c r="Y80" s="45"/>
      <c r="Z80" s="45"/>
    </row>
    <row r="81" spans="1:26" s="46" customFormat="1" ht="33.75" customHeight="1">
      <c r="A81" s="41"/>
      <c r="B81" s="42" t="s">
        <v>130</v>
      </c>
      <c r="C81" s="43">
        <f>C13+C32+C40</f>
        <v>0</v>
      </c>
      <c r="D81" s="43">
        <f>D13+D32+D40</f>
        <v>0</v>
      </c>
      <c r="E81" s="43">
        <f>E13+E32+E40</f>
        <v>264812</v>
      </c>
      <c r="F81" s="13">
        <f>H81/G81*100</f>
        <v>17.75197390599233</v>
      </c>
      <c r="G81" s="43">
        <f>G13+G32+G40</f>
        <v>3841495</v>
      </c>
      <c r="H81" s="44">
        <f>H13+H32+H40</f>
        <v>681941.1900000001</v>
      </c>
      <c r="I81" s="43">
        <f>I13+I32+I40</f>
        <v>7703735</v>
      </c>
      <c r="J81" s="43">
        <f>J13+J32+J40</f>
        <v>10064988.325</v>
      </c>
      <c r="K81" s="43">
        <f>K13+K32+K40</f>
        <v>13886392.1875</v>
      </c>
      <c r="L81" s="43">
        <f>L13+L32+L40</f>
        <v>9512182.3421875</v>
      </c>
      <c r="M81" s="43">
        <f>M13+M32+M40</f>
        <v>2812330.825742188</v>
      </c>
      <c r="N81" s="43">
        <f>N13+N32+N40</f>
        <v>2342055.0963857425</v>
      </c>
      <c r="O81" s="43">
        <f>O13+O32+O40</f>
        <v>2070810.2237953856</v>
      </c>
      <c r="P81" s="43">
        <f>P13+P32+P40</f>
        <v>2102615.9043902704</v>
      </c>
      <c r="Q81" s="43">
        <f>Q13+Q32+Q40</f>
        <v>2135502.477000027</v>
      </c>
      <c r="R81" s="43">
        <f>R13+R32+R40</f>
        <v>2169496.938925028</v>
      </c>
      <c r="S81" s="43">
        <f>S13+S32+S40</f>
        <v>2204625.9623981533</v>
      </c>
      <c r="T81" s="43">
        <f>T13+T32+T40</f>
        <v>2240917.911458107</v>
      </c>
      <c r="U81" s="45"/>
      <c r="V81" s="45"/>
      <c r="W81" s="45"/>
      <c r="X81" s="45"/>
      <c r="Y81" s="45"/>
      <c r="Z81" s="45"/>
    </row>
    <row r="82" spans="1:26" s="46" customFormat="1" ht="46.5" customHeight="1">
      <c r="A82" s="41" t="s">
        <v>131</v>
      </c>
      <c r="B82" s="42" t="s">
        <v>132</v>
      </c>
      <c r="C82" s="43">
        <f>C6-C80</f>
        <v>58823</v>
      </c>
      <c r="D82" s="43">
        <f>D6-D80</f>
        <v>-8197812.119999997</v>
      </c>
      <c r="E82" s="43">
        <f>E6-E80</f>
        <v>-9539028.729999997</v>
      </c>
      <c r="F82" s="13">
        <f>H82/G82*100</f>
        <v>675.5638981933785</v>
      </c>
      <c r="G82" s="43">
        <f>G6-G80</f>
        <v>-3853193.759999998</v>
      </c>
      <c r="H82" s="43">
        <f>H6-H80</f>
        <v>-26030785.97</v>
      </c>
      <c r="I82" s="43">
        <f>I6-I80</f>
        <v>90893</v>
      </c>
      <c r="J82" s="43">
        <f>J6-J80</f>
        <v>-1574177.9255000055</v>
      </c>
      <c r="K82" s="43">
        <f>K6-K80</f>
        <v>-1981517.8732649982</v>
      </c>
      <c r="L82" s="43">
        <f>L6-L80</f>
        <v>3955189.5536953807</v>
      </c>
      <c r="M82" s="43">
        <f>M6-M80</f>
        <v>9381853.078978188</v>
      </c>
      <c r="N82" s="43">
        <f>N6-N80</f>
        <v>1693377.7654398307</v>
      </c>
      <c r="O82" s="43">
        <f>O6-O80</f>
        <v>4477121.69184234</v>
      </c>
      <c r="P82" s="43">
        <f>P6-P80</f>
        <v>1964428.1710025594</v>
      </c>
      <c r="Q82" s="43">
        <f>Q6-Q80</f>
        <v>4800773.723469287</v>
      </c>
      <c r="R82" s="43">
        <f>R6-R80</f>
        <v>4609928.295804724</v>
      </c>
      <c r="S82" s="43">
        <f>S6-S80</f>
        <v>5246932.683589682</v>
      </c>
      <c r="T82" s="43">
        <f>T6-T80</f>
        <v>10853434.583314091</v>
      </c>
      <c r="U82" s="45"/>
      <c r="V82" s="45"/>
      <c r="W82" s="45"/>
      <c r="X82" s="45"/>
      <c r="Y82" s="45"/>
      <c r="Z82" s="45"/>
    </row>
    <row r="83" spans="1:26" s="46" customFormat="1" ht="33.75" customHeight="1">
      <c r="A83" s="41" t="s">
        <v>133</v>
      </c>
      <c r="B83" s="42" t="s">
        <v>134</v>
      </c>
      <c r="C83" s="43">
        <f>C20+C45</f>
        <v>1295280</v>
      </c>
      <c r="D83" s="43">
        <f>D20+D45</f>
        <v>10830344</v>
      </c>
      <c r="E83" s="43">
        <f>E20+E45</f>
        <v>11392932.880000003</v>
      </c>
      <c r="F83" s="13">
        <f>H83/G83*100</f>
        <v>255.93959129983753</v>
      </c>
      <c r="G83" s="43">
        <f>G20+G45</f>
        <v>11622190.15000001</v>
      </c>
      <c r="H83" s="44">
        <f>H20+H45</f>
        <v>29745785.970000003</v>
      </c>
      <c r="I83" s="43">
        <f>I20+I45</f>
        <v>3609107</v>
      </c>
      <c r="J83" s="43">
        <f>J20+J45</f>
        <v>5274177.9255000055</v>
      </c>
      <c r="K83" s="43">
        <f>K20+K45</f>
        <v>4481517.873264998</v>
      </c>
      <c r="L83" s="43">
        <f>L20+L45</f>
        <v>0</v>
      </c>
      <c r="M83" s="43">
        <f>M20+M45</f>
        <v>735480.5536953807</v>
      </c>
      <c r="N83" s="43">
        <f>N20+N45</f>
        <v>5897624.632673569</v>
      </c>
      <c r="O83" s="43">
        <f>O20+O45</f>
        <v>3371293.3981133997</v>
      </c>
      <c r="P83" s="43">
        <f>P20+P45</f>
        <v>3179586.0899557397</v>
      </c>
      <c r="Q83" s="43">
        <f>Q20+Q45</f>
        <v>924305.260958299</v>
      </c>
      <c r="R83" s="43">
        <f>R20+R45</f>
        <v>2505369.984427586</v>
      </c>
      <c r="S83" s="43">
        <f>S20+S45</f>
        <v>3970589.2802323103</v>
      </c>
      <c r="T83" s="43">
        <f>T20+T45</f>
        <v>7797157.555057</v>
      </c>
      <c r="U83" s="45"/>
      <c r="V83" s="45"/>
      <c r="W83" s="45"/>
      <c r="X83" s="45"/>
      <c r="Y83" s="45"/>
      <c r="Z83" s="45"/>
    </row>
    <row r="84" spans="1:26" s="46" customFormat="1" ht="33.75" customHeight="1">
      <c r="A84" s="41" t="s">
        <v>135</v>
      </c>
      <c r="B84" s="42" t="s">
        <v>136</v>
      </c>
      <c r="C84" s="43">
        <f>C34+C36</f>
        <v>1526687</v>
      </c>
      <c r="D84" s="43">
        <f>D34+D36</f>
        <v>1750567</v>
      </c>
      <c r="E84" s="43">
        <f>E34+E36</f>
        <v>1508114</v>
      </c>
      <c r="F84" s="13">
        <f>H84/G84*100</f>
        <v>80.60301032174162</v>
      </c>
      <c r="G84" s="43">
        <f>G34+G36</f>
        <v>4609009</v>
      </c>
      <c r="H84" s="44">
        <f>H34+H36</f>
        <v>3715000</v>
      </c>
      <c r="I84" s="43">
        <f>I34+I36</f>
        <v>3700000</v>
      </c>
      <c r="J84" s="43">
        <f>J34+J36</f>
        <v>3700000</v>
      </c>
      <c r="K84" s="43">
        <f>K34+K36</f>
        <v>2500000</v>
      </c>
      <c r="L84" s="43">
        <f>L34+L36</f>
        <v>3219709</v>
      </c>
      <c r="M84" s="43">
        <f>M34+M36</f>
        <v>4219709</v>
      </c>
      <c r="N84" s="43">
        <f>N34+N36</f>
        <v>4219709</v>
      </c>
      <c r="O84" s="43">
        <f>O34+O36</f>
        <v>4668829</v>
      </c>
      <c r="P84" s="43">
        <f>P34+P36</f>
        <v>4219709</v>
      </c>
      <c r="Q84" s="43">
        <f>Q34+Q36</f>
        <v>3219709</v>
      </c>
      <c r="R84" s="43">
        <f>R34+R36</f>
        <v>3144709</v>
      </c>
      <c r="S84" s="43">
        <f>S34+S36</f>
        <v>1420364.408764992</v>
      </c>
      <c r="T84" s="43">
        <f>T34+T36</f>
        <v>0</v>
      </c>
      <c r="U84" s="45"/>
      <c r="V84" s="45"/>
      <c r="W84" s="45"/>
      <c r="X84" s="45"/>
      <c r="Y84" s="45"/>
      <c r="Z84" s="45"/>
    </row>
    <row r="85" spans="1:26" s="46" customFormat="1" ht="35.25" customHeight="1">
      <c r="A85" s="61" t="s">
        <v>137</v>
      </c>
      <c r="B85" s="38" t="s">
        <v>138</v>
      </c>
      <c r="C85" s="89">
        <f>C79-C80+C83-C84</f>
        <v>-172584</v>
      </c>
      <c r="D85" s="89">
        <f>D79-D80+D83-D84</f>
        <v>881964.8800000027</v>
      </c>
      <c r="E85" s="89">
        <f>E6-E80+E83-E84</f>
        <v>345790.15000000596</v>
      </c>
      <c r="F85" s="33">
        <v>0</v>
      </c>
      <c r="G85" s="89">
        <f>G6-G80+G83-G84</f>
        <v>3159987.390000012</v>
      </c>
      <c r="H85" s="90">
        <f>H6-H80+H83-H84</f>
        <v>0</v>
      </c>
      <c r="I85" s="89">
        <f>I6-I80+I83-I84</f>
        <v>0</v>
      </c>
      <c r="J85" s="89">
        <f>J6-J80+J83-J84</f>
        <v>0</v>
      </c>
      <c r="K85" s="89">
        <f>K6-K80+K83-K84</f>
        <v>0</v>
      </c>
      <c r="L85" s="89">
        <f>L6-L80+L83-L84</f>
        <v>735480.5536953807</v>
      </c>
      <c r="M85" s="89">
        <f>M6-M80+M83-M84</f>
        <v>5897624.632673569</v>
      </c>
      <c r="N85" s="89">
        <f>N6-N80+N83-N84</f>
        <v>3371293.3981133997</v>
      </c>
      <c r="O85" s="89">
        <f>O6-O80+O83-O84</f>
        <v>3179586.0899557397</v>
      </c>
      <c r="P85" s="89">
        <f>P6-P80+P83-P84</f>
        <v>924305.260958299</v>
      </c>
      <c r="Q85" s="89">
        <f>Q6-Q80+Q83-Q84</f>
        <v>2505369.984427586</v>
      </c>
      <c r="R85" s="89">
        <f>R6-R80+R83-R84</f>
        <v>3970589.2802323103</v>
      </c>
      <c r="S85" s="89">
        <f>S6-S80+S83-S84</f>
        <v>7797157.555057</v>
      </c>
      <c r="T85" s="89">
        <f>T6-T80+T83-T84</f>
        <v>18650592.13837109</v>
      </c>
      <c r="U85" s="45"/>
      <c r="V85" s="45"/>
      <c r="W85" s="45"/>
      <c r="X85" s="45"/>
      <c r="Y85" s="45"/>
      <c r="Z85" s="45"/>
    </row>
    <row r="86" spans="1:26" s="46" customFormat="1" ht="35.25" customHeight="1">
      <c r="A86" s="61"/>
      <c r="B86" s="38" t="s">
        <v>139</v>
      </c>
      <c r="C86" s="89">
        <f>C7-C10-C27+C21+C22</f>
        <v>3677433</v>
      </c>
      <c r="D86" s="89">
        <f>D7-D10-D27+D21+D22</f>
        <v>2310762.8800000027</v>
      </c>
      <c r="E86" s="89">
        <f>E7-E10-E27+E21+E22</f>
        <v>629129.8600000101</v>
      </c>
      <c r="F86" s="33">
        <f>H86/G86*100</f>
        <v>-472.92228573907676</v>
      </c>
      <c r="G86" s="89">
        <f>G7-G10-G27+G21+G22</f>
        <v>5015867.170000013</v>
      </c>
      <c r="H86" s="90">
        <f>H7-H10-H27+H21+H22</f>
        <v>-23721153.67</v>
      </c>
      <c r="I86" s="89">
        <f>I7-I10-I27+I21+I22</f>
        <v>3435710.390000012</v>
      </c>
      <c r="J86" s="89">
        <f>J7-J10-J27+J22+J22</f>
        <v>3145031.0744999945</v>
      </c>
      <c r="K86" s="89">
        <f>K7-K10-K27+K21+K22</f>
        <v>6323254.126735002</v>
      </c>
      <c r="L86" s="89">
        <f>L7-L10-L27+L21+L22</f>
        <v>8447106.55369538</v>
      </c>
      <c r="M86" s="89">
        <f>M7-M10-M27+M21+M22</f>
        <v>10067333.632673569</v>
      </c>
      <c r="N86" s="89">
        <f>N7-N10-N27+N21+N22</f>
        <v>15917752.3981134</v>
      </c>
      <c r="O86" s="89">
        <f>O7-O10-O27+O21+O22</f>
        <v>12866566.33995574</v>
      </c>
      <c r="P86" s="89">
        <f>P7-P10-P27+P21+P22</f>
        <v>12344014.260958299</v>
      </c>
      <c r="Q86" s="89">
        <f>Q7-Q10-Q27+Q21+Q22</f>
        <v>9420578.984427586</v>
      </c>
      <c r="R86" s="89">
        <f>R7-R10-R27+R21+R22</f>
        <v>11706231.78023231</v>
      </c>
      <c r="S86" s="89">
        <f>S7-S10-S27+S21+S22</f>
        <v>13803820.45132199</v>
      </c>
      <c r="T86" s="89">
        <f>T7-T10-T27+T21+T22</f>
        <v>18332183.073183592</v>
      </c>
      <c r="U86" s="45"/>
      <c r="V86" s="45"/>
      <c r="W86" s="45"/>
      <c r="X86" s="45"/>
      <c r="Y86" s="45"/>
      <c r="Z86" s="45"/>
    </row>
    <row r="87" spans="7:26" ht="21.75" customHeight="1">
      <c r="G87" s="76"/>
      <c r="H87" s="76"/>
      <c r="I87" s="76"/>
      <c r="J87" s="76"/>
      <c r="K87" s="76"/>
      <c r="L87" s="76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7:26" ht="21.75" customHeight="1">
      <c r="G88" s="76"/>
      <c r="H88" s="76"/>
      <c r="I88" s="76"/>
      <c r="J88" s="76"/>
      <c r="K88" s="76"/>
      <c r="L88" s="76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7:26" ht="21.75" customHeight="1">
      <c r="G89" s="76"/>
      <c r="H89" s="76"/>
      <c r="I89" s="76"/>
      <c r="J89" s="76"/>
      <c r="K89" s="76"/>
      <c r="L89" s="76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7:26" ht="21.75" customHeight="1">
      <c r="G90" s="76"/>
      <c r="H90" s="76"/>
      <c r="I90" s="76"/>
      <c r="J90" s="76"/>
      <c r="K90" s="76"/>
      <c r="L90" s="76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7:26" ht="21.75" customHeight="1">
      <c r="G91" s="76"/>
      <c r="H91" s="76"/>
      <c r="I91" s="76"/>
      <c r="J91" s="76"/>
      <c r="K91" s="76"/>
      <c r="L91" s="76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7:26" ht="21.75" customHeight="1">
      <c r="G92" s="76"/>
      <c r="H92" s="76"/>
      <c r="I92" s="76"/>
      <c r="J92" s="76"/>
      <c r="K92" s="76"/>
      <c r="L92" s="76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7:26" ht="21.75" customHeight="1">
      <c r="G93" s="76"/>
      <c r="H93" s="76"/>
      <c r="I93" s="76"/>
      <c r="J93" s="76"/>
      <c r="K93" s="76"/>
      <c r="L93" s="76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7:26" ht="21.75" customHeight="1">
      <c r="G94" s="76"/>
      <c r="H94" s="76"/>
      <c r="I94" s="76"/>
      <c r="J94" s="76"/>
      <c r="K94" s="76"/>
      <c r="L94" s="76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7:26" ht="21.75" customHeight="1">
      <c r="G95" s="76"/>
      <c r="H95" s="76"/>
      <c r="I95" s="76"/>
      <c r="J95" s="76"/>
      <c r="K95" s="76"/>
      <c r="L95" s="76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7:26" ht="21.75" customHeight="1">
      <c r="G96" s="76"/>
      <c r="H96" s="76"/>
      <c r="I96" s="76"/>
      <c r="J96" s="76"/>
      <c r="K96" s="76"/>
      <c r="L96" s="76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7:26" ht="21.75" customHeight="1">
      <c r="G97" s="76"/>
      <c r="H97" s="76"/>
      <c r="I97" s="76"/>
      <c r="J97" s="76"/>
      <c r="K97" s="76"/>
      <c r="L97" s="76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7:26" ht="21.75" customHeight="1">
      <c r="G98" s="76"/>
      <c r="H98" s="76"/>
      <c r="I98" s="76"/>
      <c r="J98" s="76"/>
      <c r="K98" s="76"/>
      <c r="L98" s="76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7:26" ht="21.75" customHeight="1">
      <c r="G99" s="76"/>
      <c r="H99" s="76"/>
      <c r="I99" s="76"/>
      <c r="J99" s="76"/>
      <c r="K99" s="76"/>
      <c r="L99" s="76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7:26" ht="21.75" customHeight="1">
      <c r="G100" s="76"/>
      <c r="H100" s="76"/>
      <c r="I100" s="76"/>
      <c r="J100" s="76"/>
      <c r="K100" s="76"/>
      <c r="L100" s="7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7:26" ht="21.75" customHeight="1">
      <c r="G101" s="76"/>
      <c r="H101" s="76"/>
      <c r="I101" s="76"/>
      <c r="J101" s="76"/>
      <c r="K101" s="76"/>
      <c r="L101" s="7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7:26" ht="21.75" customHeight="1">
      <c r="G102" s="76"/>
      <c r="H102" s="76"/>
      <c r="I102" s="76"/>
      <c r="J102" s="76"/>
      <c r="K102" s="76"/>
      <c r="L102" s="7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7:26" ht="21.75" customHeight="1">
      <c r="G103" s="76"/>
      <c r="H103" s="76"/>
      <c r="I103" s="76"/>
      <c r="J103" s="76"/>
      <c r="K103" s="76"/>
      <c r="L103" s="7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7:26" ht="21.75" customHeight="1">
      <c r="G104" s="76"/>
      <c r="H104" s="76"/>
      <c r="I104" s="76"/>
      <c r="J104" s="76"/>
      <c r="K104" s="76"/>
      <c r="L104" s="7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7:26" ht="21.75" customHeight="1">
      <c r="G105" s="76"/>
      <c r="H105" s="76"/>
      <c r="I105" s="76"/>
      <c r="J105" s="76"/>
      <c r="K105" s="76"/>
      <c r="L105" s="7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7:26" ht="21.75" customHeight="1">
      <c r="G106" s="76"/>
      <c r="H106" s="76"/>
      <c r="I106" s="76"/>
      <c r="J106" s="76"/>
      <c r="K106" s="76"/>
      <c r="L106" s="76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7:26" ht="21.75" customHeight="1">
      <c r="G107" s="76"/>
      <c r="H107" s="76"/>
      <c r="I107" s="76"/>
      <c r="J107" s="76"/>
      <c r="K107" s="76"/>
      <c r="L107" s="7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7:26" ht="21.75" customHeight="1">
      <c r="G108" s="76"/>
      <c r="H108" s="76"/>
      <c r="I108" s="76"/>
      <c r="J108" s="76"/>
      <c r="K108" s="76"/>
      <c r="L108" s="7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7:26" ht="21.75" customHeight="1">
      <c r="G109" s="76"/>
      <c r="H109" s="76"/>
      <c r="I109" s="76"/>
      <c r="J109" s="76"/>
      <c r="K109" s="76"/>
      <c r="L109" s="76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7:26" ht="21.75" customHeight="1">
      <c r="G110" s="76"/>
      <c r="H110" s="76"/>
      <c r="I110" s="76"/>
      <c r="J110" s="76"/>
      <c r="K110" s="76"/>
      <c r="L110" s="7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7:26" ht="21.75" customHeight="1">
      <c r="G111" s="76"/>
      <c r="H111" s="76"/>
      <c r="I111" s="76"/>
      <c r="J111" s="76"/>
      <c r="K111" s="76"/>
      <c r="L111" s="76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7:26" ht="21.75" customHeight="1">
      <c r="G112" s="76"/>
      <c r="H112" s="76"/>
      <c r="I112" s="76"/>
      <c r="J112" s="76"/>
      <c r="K112" s="76"/>
      <c r="L112" s="76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7:26" ht="21.75" customHeight="1">
      <c r="G113" s="76"/>
      <c r="H113" s="76"/>
      <c r="I113" s="76"/>
      <c r="J113" s="76"/>
      <c r="K113" s="76"/>
      <c r="L113" s="76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7:26" ht="21.75" customHeight="1">
      <c r="G114" s="76"/>
      <c r="H114" s="76"/>
      <c r="I114" s="76"/>
      <c r="J114" s="76"/>
      <c r="K114" s="76"/>
      <c r="L114" s="76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7:26" ht="21.75" customHeight="1">
      <c r="G115" s="76"/>
      <c r="H115" s="76"/>
      <c r="I115" s="76"/>
      <c r="J115" s="76"/>
      <c r="K115" s="76"/>
      <c r="L115" s="76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7:26" ht="21.75" customHeight="1">
      <c r="G116" s="76"/>
      <c r="H116" s="76"/>
      <c r="I116" s="76"/>
      <c r="J116" s="76"/>
      <c r="K116" s="76"/>
      <c r="L116" s="76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7:26" ht="21.75" customHeight="1">
      <c r="G117" s="76"/>
      <c r="H117" s="76"/>
      <c r="I117" s="76"/>
      <c r="J117" s="76"/>
      <c r="K117" s="76"/>
      <c r="L117" s="76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7:26" ht="21.75" customHeight="1">
      <c r="G118" s="76"/>
      <c r="H118" s="76"/>
      <c r="I118" s="76"/>
      <c r="J118" s="76"/>
      <c r="K118" s="76"/>
      <c r="L118" s="76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7:26" ht="21.75" customHeight="1">
      <c r="G119" s="76"/>
      <c r="H119" s="76"/>
      <c r="I119" s="76"/>
      <c r="J119" s="76"/>
      <c r="K119" s="76"/>
      <c r="L119" s="76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7:26" ht="21.75" customHeight="1">
      <c r="G120" s="76"/>
      <c r="H120" s="76"/>
      <c r="I120" s="76"/>
      <c r="J120" s="76"/>
      <c r="K120" s="76"/>
      <c r="L120" s="76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7:26" ht="21.75" customHeight="1">
      <c r="G121" s="76"/>
      <c r="H121" s="76"/>
      <c r="I121" s="76"/>
      <c r="J121" s="76"/>
      <c r="K121" s="76"/>
      <c r="L121" s="76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7:26" ht="21.75" customHeight="1">
      <c r="G122" s="76"/>
      <c r="H122" s="76"/>
      <c r="I122" s="76"/>
      <c r="J122" s="76"/>
      <c r="K122" s="76"/>
      <c r="L122" s="76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7:26" ht="21.75" customHeight="1">
      <c r="G123" s="76"/>
      <c r="H123" s="76"/>
      <c r="I123" s="76"/>
      <c r="J123" s="76"/>
      <c r="K123" s="76"/>
      <c r="L123" s="76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7:26" ht="21.75" customHeight="1">
      <c r="G124" s="76"/>
      <c r="H124" s="76"/>
      <c r="I124" s="76"/>
      <c r="J124" s="76"/>
      <c r="K124" s="76"/>
      <c r="L124" s="76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7:26" ht="21.75" customHeight="1">
      <c r="G125" s="76"/>
      <c r="H125" s="76"/>
      <c r="I125" s="76"/>
      <c r="J125" s="76"/>
      <c r="K125" s="76"/>
      <c r="L125" s="76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7:26" ht="21.75" customHeight="1">
      <c r="G126" s="76"/>
      <c r="H126" s="76"/>
      <c r="I126" s="76"/>
      <c r="J126" s="76"/>
      <c r="K126" s="76"/>
      <c r="L126" s="76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7:26" ht="21.75" customHeight="1">
      <c r="G127" s="76"/>
      <c r="H127" s="76"/>
      <c r="I127" s="76"/>
      <c r="J127" s="76"/>
      <c r="K127" s="76"/>
      <c r="L127" s="76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7:26" ht="21.75" customHeight="1">
      <c r="G128" s="76"/>
      <c r="H128" s="76"/>
      <c r="I128" s="76"/>
      <c r="J128" s="76"/>
      <c r="K128" s="76"/>
      <c r="L128" s="76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7:26" ht="21.75" customHeight="1">
      <c r="G129" s="76"/>
      <c r="H129" s="76"/>
      <c r="I129" s="76"/>
      <c r="J129" s="76"/>
      <c r="K129" s="76"/>
      <c r="L129" s="76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7:26" ht="21.75" customHeight="1">
      <c r="G130" s="76"/>
      <c r="H130" s="76"/>
      <c r="I130" s="76"/>
      <c r="J130" s="76"/>
      <c r="K130" s="76"/>
      <c r="L130" s="76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</sheetData>
  <sheetProtection selectLockedCells="1" selectUnlockedCells="1"/>
  <mergeCells count="27">
    <mergeCell ref="A1:T1"/>
    <mergeCell ref="A2:T2"/>
    <mergeCell ref="A3:A4"/>
    <mergeCell ref="B3:B4"/>
    <mergeCell ref="C3:E3"/>
    <mergeCell ref="G3:G4"/>
    <mergeCell ref="I3:I4"/>
    <mergeCell ref="J3:T3"/>
    <mergeCell ref="A14:A16"/>
    <mergeCell ref="A41:A43"/>
    <mergeCell ref="A48:T48"/>
    <mergeCell ref="A49:A50"/>
    <mergeCell ref="B49:B50"/>
    <mergeCell ref="C49:E49"/>
    <mergeCell ref="G49:G50"/>
    <mergeCell ref="I49:I50"/>
    <mergeCell ref="J49:S49"/>
    <mergeCell ref="A58:A61"/>
    <mergeCell ref="B66:T66"/>
    <mergeCell ref="A75:T75"/>
    <mergeCell ref="A76:A77"/>
    <mergeCell ref="B76:B77"/>
    <mergeCell ref="C76:E76"/>
    <mergeCell ref="G76:G77"/>
    <mergeCell ref="I76:I77"/>
    <mergeCell ref="J76:S76"/>
    <mergeCell ref="A85:A86"/>
  </mergeCells>
  <printOptions horizontalCentered="1"/>
  <pageMargins left="0.5902777777777778" right="0.5902777777777778" top="1.1479166666666667" bottom="0.875" header="0.5902777777777778" footer="0.5902777777777778"/>
  <pageSetup horizontalDpi="300" verticalDpi="300" orientation="landscape" paperSize="9" scale="39"/>
  <headerFooter alignWithMargins="0">
    <oddHeader>&amp;R&amp;"Times New Roman,Normalny"&amp;26Załącznik nr  1 do uchwały Nr XXIII/291/2012  z dnia 31 maja    2012 r. w sprawie  wieloletniej prognozy finansowej Gminy Barlinek na lata 2012-2023</oddHeader>
    <oddFooter>&amp;C&amp;"Times New Roman,Normalny"&amp;12Strona &amp;P z &amp;N</oddFooter>
  </headerFooter>
  <rowBreaks count="2" manualBreakCount="2">
    <brk id="25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50" zoomScaleSheetLayoutView="50" workbookViewId="0" topLeftCell="A1">
      <pane ySplit="4" topLeftCell="A38" activePane="bottomLeft" state="frozen"/>
      <selection pane="topLeft" activeCell="A1" sqref="A1"/>
      <selection pane="bottomLeft" activeCell="H49" sqref="H49"/>
    </sheetView>
  </sheetViews>
  <sheetFormatPr defaultColWidth="8.796875" defaultRowHeight="14.25"/>
  <cols>
    <col min="1" max="1" width="8.59765625" style="91" customWidth="1"/>
    <col min="2" max="2" width="5" style="91" customWidth="1"/>
    <col min="3" max="3" width="4.296875" style="91" customWidth="1"/>
    <col min="4" max="4" width="68.3984375" style="91" customWidth="1"/>
    <col min="5" max="5" width="23.796875" style="92" customWidth="1"/>
    <col min="6" max="6" width="12.796875" style="92" customWidth="1"/>
    <col min="7" max="7" width="13" style="92" customWidth="1"/>
    <col min="8" max="8" width="20.296875" style="93" customWidth="1"/>
    <col min="9" max="9" width="0" style="94" hidden="1" customWidth="1"/>
    <col min="10" max="10" width="0" style="95" hidden="1" customWidth="1"/>
    <col min="11" max="11" width="0" style="96" hidden="1" customWidth="1"/>
    <col min="12" max="14" width="20.296875" style="95" customWidth="1"/>
    <col min="15" max="15" width="17.69921875" style="95" customWidth="1"/>
    <col min="16" max="16" width="17.296875" style="95" customWidth="1"/>
    <col min="17" max="17" width="15.296875" style="95" customWidth="1"/>
    <col min="18" max="18" width="17.796875" style="95" customWidth="1"/>
    <col min="19" max="19" width="17" style="95" customWidth="1"/>
    <col min="20" max="20" width="17.296875" style="95" customWidth="1"/>
    <col min="21" max="21" width="16.296875" style="95" customWidth="1"/>
    <col min="22" max="22" width="15.796875" style="95" customWidth="1"/>
    <col min="23" max="23" width="0" style="95" hidden="1" customWidth="1"/>
    <col min="24" max="24" width="20.296875" style="95" customWidth="1"/>
    <col min="25" max="25" width="9" style="95" customWidth="1"/>
    <col min="26" max="16384" width="9" style="92" customWidth="1"/>
  </cols>
  <sheetData>
    <row r="1" spans="1:25" ht="76.5" customHeight="1">
      <c r="A1" s="97" t="s">
        <v>140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/>
    </row>
    <row r="2" spans="1:25" s="102" customFormat="1" ht="38.25" customHeight="1">
      <c r="A2" s="99" t="s">
        <v>2</v>
      </c>
      <c r="B2" s="99" t="s">
        <v>3</v>
      </c>
      <c r="C2" s="99"/>
      <c r="D2" s="99"/>
      <c r="E2" s="99" t="s">
        <v>141</v>
      </c>
      <c r="F2" s="99" t="s">
        <v>142</v>
      </c>
      <c r="G2" s="99"/>
      <c r="H2" s="99" t="s">
        <v>143</v>
      </c>
      <c r="I2" s="100" t="s">
        <v>144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9" t="s">
        <v>145</v>
      </c>
      <c r="Y2" s="101"/>
    </row>
    <row r="3" spans="1:25" s="102" customFormat="1" ht="38.25" customHeight="1">
      <c r="A3" s="99"/>
      <c r="B3" s="99"/>
      <c r="C3" s="99"/>
      <c r="D3" s="99"/>
      <c r="E3" s="99"/>
      <c r="F3" s="99"/>
      <c r="G3" s="99"/>
      <c r="H3" s="99"/>
      <c r="I3" s="103" t="s">
        <v>12</v>
      </c>
      <c r="J3" s="104" t="s">
        <v>12</v>
      </c>
      <c r="K3" s="103"/>
      <c r="L3" s="100" t="s">
        <v>146</v>
      </c>
      <c r="M3" s="100" t="s">
        <v>13</v>
      </c>
      <c r="N3" s="100" t="s">
        <v>14</v>
      </c>
      <c r="O3" s="100" t="s">
        <v>15</v>
      </c>
      <c r="P3" s="100" t="s">
        <v>16</v>
      </c>
      <c r="Q3" s="100" t="s">
        <v>17</v>
      </c>
      <c r="R3" s="100" t="s">
        <v>18</v>
      </c>
      <c r="S3" s="100" t="s">
        <v>19</v>
      </c>
      <c r="T3" s="100" t="s">
        <v>20</v>
      </c>
      <c r="U3" s="100" t="s">
        <v>21</v>
      </c>
      <c r="V3" s="100" t="s">
        <v>22</v>
      </c>
      <c r="W3" s="100" t="s">
        <v>23</v>
      </c>
      <c r="X3" s="99"/>
      <c r="Y3" s="101"/>
    </row>
    <row r="4" spans="1:25" s="102" customFormat="1" ht="38.25" customHeight="1">
      <c r="A4" s="99"/>
      <c r="B4" s="99"/>
      <c r="C4" s="99"/>
      <c r="D4" s="99"/>
      <c r="E4" s="99"/>
      <c r="F4" s="100" t="s">
        <v>147</v>
      </c>
      <c r="G4" s="100" t="s">
        <v>148</v>
      </c>
      <c r="H4" s="99"/>
      <c r="I4" s="105" t="s">
        <v>11</v>
      </c>
      <c r="J4" s="104"/>
      <c r="K4" s="105" t="s">
        <v>4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99"/>
      <c r="Y4" s="106"/>
    </row>
    <row r="5" spans="1:25" s="114" customFormat="1" ht="45.75" customHeight="1">
      <c r="A5" s="107" t="s">
        <v>24</v>
      </c>
      <c r="B5" s="108" t="s">
        <v>149</v>
      </c>
      <c r="C5" s="108"/>
      <c r="D5" s="108"/>
      <c r="E5" s="109" t="s">
        <v>108</v>
      </c>
      <c r="F5" s="109" t="s">
        <v>108</v>
      </c>
      <c r="G5" s="109" t="s">
        <v>108</v>
      </c>
      <c r="H5" s="110">
        <f>H6+H7</f>
        <v>63110748.194782406</v>
      </c>
      <c r="I5" s="111">
        <f>K5/J5*100</f>
        <v>0</v>
      </c>
      <c r="J5" s="110">
        <f>J6+J7</f>
        <v>3865095</v>
      </c>
      <c r="K5" s="112"/>
      <c r="L5" s="110">
        <f>L6+L7</f>
        <v>7703735</v>
      </c>
      <c r="M5" s="110">
        <f>M6+M7</f>
        <v>10064988.325</v>
      </c>
      <c r="N5" s="110">
        <f>N6+N7</f>
        <v>13886392.1875</v>
      </c>
      <c r="O5" s="110">
        <f>O6+O7</f>
        <v>9512182.3421875</v>
      </c>
      <c r="P5" s="110">
        <f>P6+P7</f>
        <v>2812330.825742188</v>
      </c>
      <c r="Q5" s="110">
        <f>Q6+Q7</f>
        <v>2342055.0963857425</v>
      </c>
      <c r="R5" s="110">
        <f>R6+R7</f>
        <v>2070810.2237953856</v>
      </c>
      <c r="S5" s="110">
        <f>S6+S7</f>
        <v>2102615.9043902704</v>
      </c>
      <c r="T5" s="110">
        <f>T6+T7</f>
        <v>2135502.477000027</v>
      </c>
      <c r="U5" s="110">
        <f>U6+U7</f>
        <v>2169496.938925028</v>
      </c>
      <c r="V5" s="110">
        <f>V6+V7</f>
        <v>2204625.9623981533</v>
      </c>
      <c r="W5" s="110">
        <f>W6+W7</f>
        <v>2240917.911458107</v>
      </c>
      <c r="X5" s="110">
        <f>X6+X7</f>
        <v>59245653.194782406</v>
      </c>
      <c r="Y5" s="113"/>
    </row>
    <row r="6" spans="1:25" s="114" customFormat="1" ht="30.75" customHeight="1">
      <c r="A6" s="107" t="s">
        <v>26</v>
      </c>
      <c r="B6" s="108" t="s">
        <v>150</v>
      </c>
      <c r="C6" s="108"/>
      <c r="D6" s="108"/>
      <c r="E6" s="109" t="s">
        <v>108</v>
      </c>
      <c r="F6" s="109" t="s">
        <v>108</v>
      </c>
      <c r="G6" s="109" t="s">
        <v>108</v>
      </c>
      <c r="H6" s="110">
        <f>SUM(J6:W6)</f>
        <v>27422792.194782402</v>
      </c>
      <c r="I6" s="111">
        <f>K6/J6*100</f>
        <v>0</v>
      </c>
      <c r="J6" s="110">
        <f>J10+J29+J36+J40+J42</f>
        <v>1624603</v>
      </c>
      <c r="K6" s="112"/>
      <c r="L6" s="110">
        <f>L10+L29+L36+L40+L42</f>
        <v>2070185</v>
      </c>
      <c r="M6" s="110">
        <f>M10+M29+M36+M40+M42</f>
        <v>2391058.325</v>
      </c>
      <c r="N6" s="110">
        <f>N10+N29+N36+N40+N42</f>
        <v>2171748.1875</v>
      </c>
      <c r="O6" s="110">
        <f>O10+O29+O36+O40+O42</f>
        <v>2186842.3421875</v>
      </c>
      <c r="P6" s="110">
        <f>P10+P29+P36+P40+P42</f>
        <v>2012330.8257421877</v>
      </c>
      <c r="Q6" s="110">
        <f>Q10+Q29+Q36+Q40+Q42</f>
        <v>2042055.0963857423</v>
      </c>
      <c r="R6" s="110">
        <f>R10+R29+R36+R40+R42</f>
        <v>2070810.2237953856</v>
      </c>
      <c r="S6" s="110">
        <f>S10+S29+S36+S40+S42</f>
        <v>2102615.9043902704</v>
      </c>
      <c r="T6" s="110">
        <f>T10+T29+T36+T40+T42</f>
        <v>2135502.477000027</v>
      </c>
      <c r="U6" s="110">
        <f>U10+U29+U36+U40+U42</f>
        <v>2169496.938925028</v>
      </c>
      <c r="V6" s="110">
        <f>V10+V29+V36+V40+V42</f>
        <v>2204625.9623981533</v>
      </c>
      <c r="W6" s="110">
        <f>W10+W29+W36+W40+W42</f>
        <v>2240917.911458107</v>
      </c>
      <c r="X6" s="110">
        <f>X10+X29+X36+X40+X42</f>
        <v>25798189.194782402</v>
      </c>
      <c r="Y6" s="113"/>
    </row>
    <row r="7" spans="1:25" s="114" customFormat="1" ht="30.75" customHeight="1">
      <c r="A7" s="107" t="s">
        <v>28</v>
      </c>
      <c r="B7" s="108" t="s">
        <v>151</v>
      </c>
      <c r="C7" s="108"/>
      <c r="D7" s="108"/>
      <c r="E7" s="109" t="s">
        <v>108</v>
      </c>
      <c r="F7" s="109" t="s">
        <v>108</v>
      </c>
      <c r="G7" s="109" t="s">
        <v>108</v>
      </c>
      <c r="H7" s="110">
        <f>SUM(J7:W7)</f>
        <v>35687956</v>
      </c>
      <c r="I7" s="111">
        <f>K7/J7*100</f>
        <v>0</v>
      </c>
      <c r="J7" s="110">
        <f>J11+J30+J37+J41</f>
        <v>2240492</v>
      </c>
      <c r="K7" s="112"/>
      <c r="L7" s="110">
        <f>L11+L30+L37+L41</f>
        <v>5633550</v>
      </c>
      <c r="M7" s="110">
        <f>M11+M30+M37+M41</f>
        <v>7673930</v>
      </c>
      <c r="N7" s="110">
        <f>N11+N30+N37+N41</f>
        <v>11714644</v>
      </c>
      <c r="O7" s="110">
        <f>O11+O30+O37+O41</f>
        <v>7325340</v>
      </c>
      <c r="P7" s="110">
        <f>P11+P30+P37+P41</f>
        <v>800000</v>
      </c>
      <c r="Q7" s="110">
        <f>Q11+Q30+Q37+Q41</f>
        <v>300000</v>
      </c>
      <c r="R7" s="110">
        <f>R11+R30+R37+R41</f>
        <v>0</v>
      </c>
      <c r="S7" s="110">
        <f>S11+S30+S37+S41</f>
        <v>0</v>
      </c>
      <c r="T7" s="110">
        <f>T11+T30+T37+T41</f>
        <v>0</v>
      </c>
      <c r="U7" s="110">
        <f>U11+U30+U37+U41</f>
        <v>0</v>
      </c>
      <c r="V7" s="110">
        <f>V11+V30+V37+V41</f>
        <v>0</v>
      </c>
      <c r="W7" s="110">
        <f>W11+W30+W37+W41</f>
        <v>0</v>
      </c>
      <c r="X7" s="110">
        <f>X11+X30+X37+X41</f>
        <v>33447464</v>
      </c>
      <c r="Y7" s="113"/>
    </row>
    <row r="8" spans="1:25" s="91" customFormat="1" ht="30.75" customHeight="1">
      <c r="A8" s="115"/>
      <c r="B8" s="116" t="s">
        <v>152</v>
      </c>
      <c r="C8" s="116"/>
      <c r="D8" s="116"/>
      <c r="E8" s="116"/>
      <c r="F8" s="116"/>
      <c r="G8" s="116"/>
      <c r="H8" s="116"/>
      <c r="I8" s="117"/>
      <c r="J8" s="116"/>
      <c r="K8" s="118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9">
        <f>SUM(J8:W8)</f>
        <v>0</v>
      </c>
      <c r="Y8" s="120"/>
    </row>
    <row r="9" spans="1:25" s="124" customFormat="1" ht="104.25" customHeight="1">
      <c r="A9" s="121"/>
      <c r="B9" s="122" t="s">
        <v>153</v>
      </c>
      <c r="C9" s="123" t="s">
        <v>154</v>
      </c>
      <c r="D9" s="123"/>
      <c r="E9" s="109" t="s">
        <v>108</v>
      </c>
      <c r="F9" s="109" t="s">
        <v>108</v>
      </c>
      <c r="G9" s="109" t="s">
        <v>108</v>
      </c>
      <c r="H9" s="110">
        <f>H10+H11</f>
        <v>15979223.825</v>
      </c>
      <c r="I9" s="111">
        <f>K9/J9*100</f>
        <v>0</v>
      </c>
      <c r="J9" s="110">
        <f>J10+J11</f>
        <v>1470817</v>
      </c>
      <c r="K9" s="112"/>
      <c r="L9" s="110">
        <f>L10+L11</f>
        <v>2825773</v>
      </c>
      <c r="M9" s="110">
        <f>M10+M11</f>
        <v>6832989.825</v>
      </c>
      <c r="N9" s="110">
        <f>N10+N11</f>
        <v>3039644</v>
      </c>
      <c r="O9" s="110">
        <f>O10+O11</f>
        <v>1310000</v>
      </c>
      <c r="P9" s="110">
        <f>P10+P11</f>
        <v>500000</v>
      </c>
      <c r="Q9" s="110">
        <f>Q10+Q11</f>
        <v>0</v>
      </c>
      <c r="R9" s="110">
        <f>R10+R11</f>
        <v>0</v>
      </c>
      <c r="S9" s="110">
        <f>S10+S11</f>
        <v>0</v>
      </c>
      <c r="T9" s="110">
        <f>T10+T11</f>
        <v>0</v>
      </c>
      <c r="U9" s="110">
        <f>U10+U11</f>
        <v>0</v>
      </c>
      <c r="V9" s="110">
        <f>V10+V11</f>
        <v>0</v>
      </c>
      <c r="W9" s="110">
        <f>W10+W11</f>
        <v>0</v>
      </c>
      <c r="X9" s="110">
        <f>SUM(L9:W9)</f>
        <v>14508406.825</v>
      </c>
      <c r="Y9" s="113"/>
    </row>
    <row r="10" spans="1:25" s="114" customFormat="1" ht="30.75" customHeight="1">
      <c r="A10" s="121"/>
      <c r="B10" s="122"/>
      <c r="C10" s="108" t="s">
        <v>150</v>
      </c>
      <c r="D10" s="108"/>
      <c r="E10" s="109" t="s">
        <v>108</v>
      </c>
      <c r="F10" s="109" t="s">
        <v>108</v>
      </c>
      <c r="G10" s="109" t="s">
        <v>108</v>
      </c>
      <c r="H10" s="110">
        <f>SUM(J10:W10)</f>
        <v>665607.825</v>
      </c>
      <c r="I10" s="111">
        <f>K10/J10*100</f>
        <v>0</v>
      </c>
      <c r="J10" s="110">
        <f>J14+J17+J20+J23+J26</f>
        <v>213075</v>
      </c>
      <c r="K10" s="112"/>
      <c r="L10" s="110">
        <f>L14+L17+L20+L23+L26</f>
        <v>223473</v>
      </c>
      <c r="M10" s="110">
        <f>M14+M17+M20+M23+M26</f>
        <v>229059.825</v>
      </c>
      <c r="N10" s="110">
        <f>N14+N17+N20+N23+N26</f>
        <v>0</v>
      </c>
      <c r="O10" s="110">
        <f>O14+O17+O20+O23+O26</f>
        <v>0</v>
      </c>
      <c r="P10" s="110">
        <f>P14+P17+P20+P23+P26</f>
        <v>0</v>
      </c>
      <c r="Q10" s="110">
        <f>Q14+Q17+Q20+Q23+Q26</f>
        <v>0</v>
      </c>
      <c r="R10" s="110">
        <f>R14+R17+R20+R23+R26</f>
        <v>0</v>
      </c>
      <c r="S10" s="110">
        <f>S14+S17+S20+S23+S26</f>
        <v>0</v>
      </c>
      <c r="T10" s="110">
        <f>T14+T17+T20+T23+T26</f>
        <v>0</v>
      </c>
      <c r="U10" s="110">
        <f>U14+U17+U20+U23+U26</f>
        <v>0</v>
      </c>
      <c r="V10" s="110">
        <f>V14+V17+V20+V23+V26</f>
        <v>0</v>
      </c>
      <c r="W10" s="110">
        <f>W14+W17+W20+W23+W26</f>
        <v>0</v>
      </c>
      <c r="X10" s="110">
        <f>SUM(L10:W10)</f>
        <v>452532.825</v>
      </c>
      <c r="Y10" s="113"/>
    </row>
    <row r="11" spans="1:25" s="114" customFormat="1" ht="30.75" customHeight="1">
      <c r="A11" s="121"/>
      <c r="B11" s="122"/>
      <c r="C11" s="108" t="s">
        <v>151</v>
      </c>
      <c r="D11" s="108"/>
      <c r="E11" s="109" t="s">
        <v>108</v>
      </c>
      <c r="F11" s="109" t="s">
        <v>108</v>
      </c>
      <c r="G11" s="109" t="s">
        <v>108</v>
      </c>
      <c r="H11" s="110">
        <f>SUM(J11:W11)</f>
        <v>15313616</v>
      </c>
      <c r="I11" s="111">
        <f>K11/J11*100</f>
        <v>0</v>
      </c>
      <c r="J11" s="110">
        <f>J15+J18+J21+J24+J27</f>
        <v>1257742</v>
      </c>
      <c r="K11" s="112"/>
      <c r="L11" s="110">
        <f>L15+L18+L21+L24+L27</f>
        <v>2602300</v>
      </c>
      <c r="M11" s="110">
        <f>M15+M18+M21+M24+M27</f>
        <v>6603930</v>
      </c>
      <c r="N11" s="110">
        <f>N15+N18+N21+N24+N27</f>
        <v>3039644</v>
      </c>
      <c r="O11" s="110">
        <f>O15+O18+O21+O24+O27</f>
        <v>1310000</v>
      </c>
      <c r="P11" s="110">
        <f>P15+P18+P21+P24+P27</f>
        <v>500000</v>
      </c>
      <c r="Q11" s="110">
        <f>Q15+Q18+Q21+Q24+Q27</f>
        <v>0</v>
      </c>
      <c r="R11" s="110">
        <f>R15+R18+R21+R24+R27</f>
        <v>0</v>
      </c>
      <c r="S11" s="110">
        <f>S15+S18+S21+S24+S27</f>
        <v>0</v>
      </c>
      <c r="T11" s="110">
        <f>T15+T18+T21+T24+T27</f>
        <v>0</v>
      </c>
      <c r="U11" s="110">
        <f>U15+U18+U21+U24+U27</f>
        <v>0</v>
      </c>
      <c r="V11" s="110">
        <f>V15+V18+V21+V24+V27</f>
        <v>0</v>
      </c>
      <c r="W11" s="110">
        <f>W15+W18+W21+W24+W27</f>
        <v>0</v>
      </c>
      <c r="X11" s="110">
        <f>SUM(L11:W11)</f>
        <v>14055874</v>
      </c>
      <c r="Y11" s="113"/>
    </row>
    <row r="12" spans="1:25" s="91" customFormat="1" ht="30.75" customHeight="1">
      <c r="A12" s="121"/>
      <c r="B12" s="122"/>
      <c r="C12" s="116" t="s">
        <v>155</v>
      </c>
      <c r="D12" s="116"/>
      <c r="E12" s="116"/>
      <c r="F12" s="116"/>
      <c r="G12" s="116"/>
      <c r="H12" s="116"/>
      <c r="I12" s="117"/>
      <c r="J12" s="116"/>
      <c r="K12" s="118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0">
        <f>SUM(L12:W12)</f>
        <v>0</v>
      </c>
      <c r="Y12" s="120"/>
    </row>
    <row r="13" spans="1:25" s="130" customFormat="1" ht="70.5">
      <c r="A13" s="121"/>
      <c r="B13" s="122"/>
      <c r="C13" s="109" t="s">
        <v>156</v>
      </c>
      <c r="D13" s="125" t="s">
        <v>157</v>
      </c>
      <c r="E13" s="126" t="s">
        <v>158</v>
      </c>
      <c r="F13" s="126"/>
      <c r="G13" s="126"/>
      <c r="H13" s="127">
        <f>H14+H15</f>
        <v>665607.8250000001</v>
      </c>
      <c r="I13" s="111">
        <f>K13/J13*100</f>
        <v>0</v>
      </c>
      <c r="J13" s="127">
        <f>J14+J15</f>
        <v>213075</v>
      </c>
      <c r="K13" s="128"/>
      <c r="L13" s="127">
        <f>L14+L15</f>
        <v>223473</v>
      </c>
      <c r="M13" s="127">
        <f>M14+M15</f>
        <v>229059.825</v>
      </c>
      <c r="N13" s="127">
        <f>N14+N15</f>
        <v>0</v>
      </c>
      <c r="O13" s="127">
        <f>O14+O15</f>
        <v>0</v>
      </c>
      <c r="P13" s="127">
        <f>P14+P15</f>
        <v>0</v>
      </c>
      <c r="Q13" s="127">
        <f>Q14+Q15</f>
        <v>0</v>
      </c>
      <c r="R13" s="127">
        <f>R14+R15</f>
        <v>0</v>
      </c>
      <c r="S13" s="127">
        <f>S14+S15</f>
        <v>0</v>
      </c>
      <c r="T13" s="127">
        <f>T14+T15</f>
        <v>0</v>
      </c>
      <c r="U13" s="127">
        <f>U14+U15</f>
        <v>0</v>
      </c>
      <c r="V13" s="127">
        <f>V14+V15</f>
        <v>0</v>
      </c>
      <c r="W13" s="127">
        <f>W14+W15</f>
        <v>0</v>
      </c>
      <c r="X13" s="110">
        <f>SUM(L13:W13)</f>
        <v>452532.825</v>
      </c>
      <c r="Y13" s="129"/>
    </row>
    <row r="14" spans="1:25" s="130" customFormat="1" ht="30.75" customHeight="1">
      <c r="A14" s="121"/>
      <c r="B14" s="122"/>
      <c r="C14" s="131"/>
      <c r="D14" s="131" t="s">
        <v>150</v>
      </c>
      <c r="E14" s="132" t="s">
        <v>108</v>
      </c>
      <c r="F14" s="132" t="s">
        <v>108</v>
      </c>
      <c r="G14" s="132" t="s">
        <v>108</v>
      </c>
      <c r="H14" s="133">
        <f>'załcznika 2a'!H13</f>
        <v>0</v>
      </c>
      <c r="I14" s="134">
        <f>'załcznika 2a'!I15</f>
        <v>42.15316672533146</v>
      </c>
      <c r="J14" s="133">
        <f>'załcznika 2a'!J15</f>
        <v>213075</v>
      </c>
      <c r="K14" s="135"/>
      <c r="L14" s="133">
        <f>'załcznika 2a'!L15</f>
        <v>223473</v>
      </c>
      <c r="M14" s="133">
        <f>'załcznika 2a'!M15</f>
        <v>229059.825</v>
      </c>
      <c r="N14" s="133">
        <f>'załcznika 2a'!N15</f>
        <v>0</v>
      </c>
      <c r="O14" s="133">
        <f>'załcznika 2a'!O15</f>
        <v>0</v>
      </c>
      <c r="P14" s="133">
        <f>'załcznika 2a'!P15</f>
        <v>0</v>
      </c>
      <c r="Q14" s="133">
        <f>'załcznika 2a'!Q15</f>
        <v>0</v>
      </c>
      <c r="R14" s="133">
        <f>'załcznika 2a'!R15</f>
        <v>0</v>
      </c>
      <c r="S14" s="133">
        <f>'załcznika 2a'!S15</f>
        <v>0</v>
      </c>
      <c r="T14" s="133">
        <f>'załcznika 2a'!T15</f>
        <v>0</v>
      </c>
      <c r="U14" s="133">
        <f>'załcznika 2a'!U15</f>
        <v>0</v>
      </c>
      <c r="V14" s="133">
        <f>'załcznika 2a'!V15</f>
        <v>0</v>
      </c>
      <c r="W14" s="133">
        <f>'załcznika 2a'!W15</f>
        <v>0</v>
      </c>
      <c r="X14" s="119">
        <f>SUM(L14:W14)</f>
        <v>452532.825</v>
      </c>
      <c r="Y14" s="136"/>
    </row>
    <row r="15" spans="1:25" s="130" customFormat="1" ht="30.75" customHeight="1">
      <c r="A15" s="121"/>
      <c r="B15" s="122"/>
      <c r="C15" s="131"/>
      <c r="D15" s="131" t="s">
        <v>159</v>
      </c>
      <c r="E15" s="132" t="s">
        <v>108</v>
      </c>
      <c r="F15" s="132" t="s">
        <v>108</v>
      </c>
      <c r="G15" s="132" t="s">
        <v>108</v>
      </c>
      <c r="H15" s="133">
        <f>'załcznika 2a'!H14</f>
        <v>665607.8250000001</v>
      </c>
      <c r="I15" s="134"/>
      <c r="J15" s="133">
        <f>'załcznika 2a'!J16</f>
        <v>0</v>
      </c>
      <c r="K15" s="135"/>
      <c r="L15" s="133">
        <f>'załcznika 2a'!L16</f>
        <v>0</v>
      </c>
      <c r="M15" s="133">
        <f>'załcznika 2a'!M16</f>
        <v>0</v>
      </c>
      <c r="N15" s="133">
        <f>'załcznika 2a'!N16</f>
        <v>0</v>
      </c>
      <c r="O15" s="133">
        <f>'załcznika 2a'!O16</f>
        <v>0</v>
      </c>
      <c r="P15" s="133">
        <f>'załcznika 2a'!P16</f>
        <v>0</v>
      </c>
      <c r="Q15" s="133">
        <f>'załcznika 2a'!Q16</f>
        <v>0</v>
      </c>
      <c r="R15" s="133">
        <f>'załcznika 2a'!R16</f>
        <v>0</v>
      </c>
      <c r="S15" s="133">
        <f>'załcznika 2a'!S16</f>
        <v>0</v>
      </c>
      <c r="T15" s="133">
        <f>'załcznika 2a'!T16</f>
        <v>0</v>
      </c>
      <c r="U15" s="133">
        <f>'załcznika 2a'!U16</f>
        <v>0</v>
      </c>
      <c r="V15" s="133">
        <f>'załcznika 2a'!V16</f>
        <v>0</v>
      </c>
      <c r="W15" s="133">
        <f>'załcznika 2a'!W16</f>
        <v>0</v>
      </c>
      <c r="X15" s="119">
        <f>SUM(L15:W15)</f>
        <v>0</v>
      </c>
      <c r="Y15" s="136"/>
    </row>
    <row r="16" spans="1:25" s="130" customFormat="1" ht="30.75" customHeight="1">
      <c r="A16" s="121"/>
      <c r="B16" s="122"/>
      <c r="C16" s="109" t="s">
        <v>160</v>
      </c>
      <c r="D16" s="125" t="s">
        <v>161</v>
      </c>
      <c r="E16" s="126" t="s">
        <v>162</v>
      </c>
      <c r="F16" s="126"/>
      <c r="G16" s="126"/>
      <c r="H16" s="127">
        <f>H17+H18</f>
        <v>10953874</v>
      </c>
      <c r="I16" s="111">
        <f>K16/J16*100</f>
        <v>0</v>
      </c>
      <c r="J16" s="127">
        <f>J17+J18</f>
        <v>590000</v>
      </c>
      <c r="K16" s="128"/>
      <c r="L16" s="127">
        <f>L17+L18</f>
        <v>702300</v>
      </c>
      <c r="M16" s="127">
        <f>M17+M18</f>
        <v>5411930</v>
      </c>
      <c r="N16" s="127">
        <f>N17+N18</f>
        <v>2439644</v>
      </c>
      <c r="O16" s="127">
        <f>O17+O18</f>
        <v>1310000</v>
      </c>
      <c r="P16" s="127">
        <f>P17+P18</f>
        <v>500000</v>
      </c>
      <c r="Q16" s="127">
        <f>Q17+Q18</f>
        <v>0</v>
      </c>
      <c r="R16" s="127">
        <f>R17+R18</f>
        <v>0</v>
      </c>
      <c r="S16" s="127">
        <f>S17+S18</f>
        <v>0</v>
      </c>
      <c r="T16" s="127">
        <f>T17+T18</f>
        <v>0</v>
      </c>
      <c r="U16" s="127">
        <f>U17+U18</f>
        <v>0</v>
      </c>
      <c r="V16" s="127">
        <f>V17+V18</f>
        <v>0</v>
      </c>
      <c r="W16" s="127">
        <f>W17+W18</f>
        <v>0</v>
      </c>
      <c r="X16" s="110">
        <f>SUM(L16:W16)</f>
        <v>10363874</v>
      </c>
      <c r="Y16" s="129"/>
    </row>
    <row r="17" spans="1:25" s="130" customFormat="1" ht="30.75" customHeight="1">
      <c r="A17" s="121"/>
      <c r="B17" s="122"/>
      <c r="C17" s="131"/>
      <c r="D17" s="137" t="s">
        <v>150</v>
      </c>
      <c r="E17" s="132" t="s">
        <v>108</v>
      </c>
      <c r="F17" s="132" t="s">
        <v>108</v>
      </c>
      <c r="G17" s="132" t="s">
        <v>108</v>
      </c>
      <c r="H17" s="133">
        <f>SUM(J17:W17)</f>
        <v>0</v>
      </c>
      <c r="I17" s="134" t="e">
        <f>'załcznika 2a'!I18</f>
        <v>#DIV/0!</v>
      </c>
      <c r="J17" s="133">
        <f>'załcznika 2a'!J18</f>
        <v>0</v>
      </c>
      <c r="K17" s="135"/>
      <c r="L17" s="133">
        <f>'załcznika 2a'!L18</f>
        <v>0</v>
      </c>
      <c r="M17" s="133">
        <f>'załcznika 2a'!M18</f>
        <v>0</v>
      </c>
      <c r="N17" s="133">
        <f>'załcznika 2a'!N18</f>
        <v>0</v>
      </c>
      <c r="O17" s="133">
        <f>'załcznika 2a'!O18</f>
        <v>0</v>
      </c>
      <c r="P17" s="133">
        <f>'załcznika 2a'!P18</f>
        <v>0</v>
      </c>
      <c r="Q17" s="133">
        <f>'załcznika 2a'!Q18</f>
        <v>0</v>
      </c>
      <c r="R17" s="133">
        <f>'załcznika 2a'!R18</f>
        <v>0</v>
      </c>
      <c r="S17" s="133">
        <f>'załcznika 2a'!S18</f>
        <v>0</v>
      </c>
      <c r="T17" s="133">
        <f>'załcznika 2a'!T18</f>
        <v>0</v>
      </c>
      <c r="U17" s="133">
        <f>'załcznika 2a'!U18</f>
        <v>0</v>
      </c>
      <c r="V17" s="133">
        <f>'załcznika 2a'!V18</f>
        <v>0</v>
      </c>
      <c r="W17" s="133">
        <f>'załcznika 2a'!W18</f>
        <v>0</v>
      </c>
      <c r="X17" s="119">
        <f>SUM(L17:W17)</f>
        <v>0</v>
      </c>
      <c r="Y17" s="136"/>
    </row>
    <row r="18" spans="1:25" s="130" customFormat="1" ht="30.75" customHeight="1">
      <c r="A18" s="121"/>
      <c r="B18" s="122"/>
      <c r="C18" s="131"/>
      <c r="D18" s="131" t="s">
        <v>159</v>
      </c>
      <c r="E18" s="132" t="s">
        <v>108</v>
      </c>
      <c r="F18" s="132" t="s">
        <v>108</v>
      </c>
      <c r="G18" s="132" t="s">
        <v>108</v>
      </c>
      <c r="H18" s="133">
        <f>SUM(J18:W18)</f>
        <v>10953874</v>
      </c>
      <c r="I18" s="134">
        <f>'załcznika 2a'!I19</f>
        <v>1.5508474576271187</v>
      </c>
      <c r="J18" s="133">
        <f>'załcznika 2a'!J19</f>
        <v>590000</v>
      </c>
      <c r="K18" s="135"/>
      <c r="L18" s="133">
        <f>'załcznika 2a'!L19</f>
        <v>702300</v>
      </c>
      <c r="M18" s="133">
        <f>'załcznika 2a'!M19</f>
        <v>5411930</v>
      </c>
      <c r="N18" s="133">
        <f>'załcznika 2a'!N19</f>
        <v>2439644</v>
      </c>
      <c r="O18" s="133">
        <f>'załcznika 2a'!O19</f>
        <v>1310000</v>
      </c>
      <c r="P18" s="133">
        <f>'załcznika 2a'!P19</f>
        <v>500000</v>
      </c>
      <c r="Q18" s="133">
        <f>'załcznika 2a'!Q19</f>
        <v>0</v>
      </c>
      <c r="R18" s="133">
        <f>'załcznika 2a'!R19</f>
        <v>0</v>
      </c>
      <c r="S18" s="133">
        <f>'załcznika 2a'!S19</f>
        <v>0</v>
      </c>
      <c r="T18" s="133">
        <f>'załcznika 2a'!T19</f>
        <v>0</v>
      </c>
      <c r="U18" s="133">
        <f>'załcznika 2a'!U19</f>
        <v>0</v>
      </c>
      <c r="V18" s="133">
        <f>'załcznika 2a'!V19</f>
        <v>0</v>
      </c>
      <c r="W18" s="133">
        <f>'załcznika 2a'!W19</f>
        <v>0</v>
      </c>
      <c r="X18" s="119">
        <f>SUM(L18:W18)</f>
        <v>10363874</v>
      </c>
      <c r="Y18" s="136"/>
    </row>
    <row r="19" spans="1:25" s="130" customFormat="1" ht="47.25" customHeight="1">
      <c r="A19" s="121"/>
      <c r="B19" s="122"/>
      <c r="C19" s="109" t="s">
        <v>163</v>
      </c>
      <c r="D19" s="125" t="s">
        <v>164</v>
      </c>
      <c r="E19" s="126" t="s">
        <v>162</v>
      </c>
      <c r="F19" s="126"/>
      <c r="G19" s="126"/>
      <c r="H19" s="127">
        <f>H20+H21</f>
        <v>2292000</v>
      </c>
      <c r="I19" s="111"/>
      <c r="J19" s="127">
        <f>J20+J21</f>
        <v>0</v>
      </c>
      <c r="K19" s="128"/>
      <c r="L19" s="127">
        <f>L20+L21</f>
        <v>500000</v>
      </c>
      <c r="M19" s="127">
        <f>M20+M21</f>
        <v>1192000</v>
      </c>
      <c r="N19" s="127">
        <f>N20+N21</f>
        <v>600000</v>
      </c>
      <c r="O19" s="127">
        <f>O20+O21</f>
        <v>0</v>
      </c>
      <c r="P19" s="127">
        <f>P20+P21</f>
        <v>0</v>
      </c>
      <c r="Q19" s="127">
        <f>Q20+Q21</f>
        <v>0</v>
      </c>
      <c r="R19" s="127">
        <f>R20+R21</f>
        <v>0</v>
      </c>
      <c r="S19" s="127">
        <f>S20+S21</f>
        <v>0</v>
      </c>
      <c r="T19" s="127">
        <f>T20+T21</f>
        <v>0</v>
      </c>
      <c r="U19" s="127">
        <f>U20+U21</f>
        <v>0</v>
      </c>
      <c r="V19" s="127">
        <f>V20+V21</f>
        <v>0</v>
      </c>
      <c r="W19" s="127">
        <f>W20+W21</f>
        <v>0</v>
      </c>
      <c r="X19" s="110">
        <f>SUM(L19:W19)</f>
        <v>2292000</v>
      </c>
      <c r="Y19" s="129"/>
    </row>
    <row r="20" spans="1:25" s="130" customFormat="1" ht="30.75" customHeight="1">
      <c r="A20" s="121"/>
      <c r="B20" s="122"/>
      <c r="C20" s="131"/>
      <c r="D20" s="137" t="s">
        <v>150</v>
      </c>
      <c r="E20" s="132" t="s">
        <v>108</v>
      </c>
      <c r="F20" s="132" t="s">
        <v>108</v>
      </c>
      <c r="G20" s="132" t="s">
        <v>108</v>
      </c>
      <c r="H20" s="133">
        <f>SUM(J20:W20)</f>
        <v>0</v>
      </c>
      <c r="I20" s="134"/>
      <c r="J20" s="127">
        <f>'załcznika 2a'!J60</f>
        <v>0</v>
      </c>
      <c r="K20" s="128"/>
      <c r="L20" s="127">
        <f>'załcznika 2a'!L60</f>
        <v>0</v>
      </c>
      <c r="M20" s="127">
        <f>'załcznika 2a'!M60</f>
        <v>0</v>
      </c>
      <c r="N20" s="127">
        <f>'załcznika 2a'!N60</f>
        <v>0</v>
      </c>
      <c r="O20" s="127">
        <f>'załcznika 2a'!O60</f>
        <v>0</v>
      </c>
      <c r="P20" s="127">
        <f>'załcznika 2a'!P60</f>
        <v>0</v>
      </c>
      <c r="Q20" s="127">
        <f>'załcznika 2a'!Q60</f>
        <v>0</v>
      </c>
      <c r="R20" s="127">
        <f>'załcznika 2a'!R60</f>
        <v>0</v>
      </c>
      <c r="S20" s="127">
        <f>'załcznika 2a'!S60</f>
        <v>0</v>
      </c>
      <c r="T20" s="127">
        <f>'załcznika 2a'!T60</f>
        <v>0</v>
      </c>
      <c r="U20" s="127">
        <f>'załcznika 2a'!U60</f>
        <v>0</v>
      </c>
      <c r="V20" s="127">
        <f>'załcznika 2a'!V60</f>
        <v>0</v>
      </c>
      <c r="W20" s="127">
        <f>'załcznika 2a'!W60</f>
        <v>0</v>
      </c>
      <c r="X20" s="110">
        <f>SUM(L20:W20)</f>
        <v>0</v>
      </c>
      <c r="Y20" s="129"/>
    </row>
    <row r="21" spans="1:25" s="130" customFormat="1" ht="30.75" customHeight="1">
      <c r="A21" s="121"/>
      <c r="B21" s="122"/>
      <c r="C21" s="131"/>
      <c r="D21" s="131" t="s">
        <v>159</v>
      </c>
      <c r="E21" s="132" t="s">
        <v>108</v>
      </c>
      <c r="F21" s="132" t="s">
        <v>108</v>
      </c>
      <c r="G21" s="132" t="s">
        <v>108</v>
      </c>
      <c r="H21" s="127">
        <f>'załcznika 2a'!H59</f>
        <v>2292000</v>
      </c>
      <c r="I21" s="111"/>
      <c r="J21" s="127">
        <f>'załcznika 2a'!J61</f>
        <v>0</v>
      </c>
      <c r="K21" s="128"/>
      <c r="L21" s="127">
        <f>'załcznika 2a'!L61</f>
        <v>500000</v>
      </c>
      <c r="M21" s="127">
        <f>'załcznika 2a'!M61</f>
        <v>1192000</v>
      </c>
      <c r="N21" s="127">
        <f>'załcznika 2a'!N61</f>
        <v>600000</v>
      </c>
      <c r="O21" s="127">
        <f>'załcznika 2a'!O61</f>
        <v>0</v>
      </c>
      <c r="P21" s="127">
        <f>'załcznika 2a'!P61</f>
        <v>0</v>
      </c>
      <c r="Q21" s="127">
        <f>'załcznika 2a'!Q61</f>
        <v>0</v>
      </c>
      <c r="R21" s="127">
        <f>'załcznika 2a'!R61</f>
        <v>0</v>
      </c>
      <c r="S21" s="127">
        <f>'załcznika 2a'!S61</f>
        <v>0</v>
      </c>
      <c r="T21" s="127">
        <f>'załcznika 2a'!T61</f>
        <v>0</v>
      </c>
      <c r="U21" s="127">
        <f>'załcznika 2a'!U61</f>
        <v>0</v>
      </c>
      <c r="V21" s="127">
        <f>'załcznika 2a'!V61</f>
        <v>0</v>
      </c>
      <c r="W21" s="127">
        <f>'załcznika 2a'!W61</f>
        <v>0</v>
      </c>
      <c r="X21" s="110">
        <f>SUM(L21:W21)</f>
        <v>2292000</v>
      </c>
      <c r="Y21" s="129"/>
    </row>
    <row r="22" spans="1:25" s="130" customFormat="1" ht="12.75" hidden="1">
      <c r="A22" s="121"/>
      <c r="B22" s="122"/>
      <c r="C22" s="122" t="s">
        <v>165</v>
      </c>
      <c r="D22" s="108" t="s">
        <v>166</v>
      </c>
      <c r="E22" s="126" t="s">
        <v>162</v>
      </c>
      <c r="F22" s="126"/>
      <c r="G22" s="126"/>
      <c r="H22" s="127">
        <f>H23+H24</f>
        <v>1150000</v>
      </c>
      <c r="I22" s="138"/>
      <c r="J22" s="127">
        <f>J23+J24</f>
        <v>0</v>
      </c>
      <c r="K22" s="128"/>
      <c r="L22" s="127">
        <f>L23+L24</f>
        <v>0</v>
      </c>
      <c r="M22" s="127">
        <f>M23+M24</f>
        <v>0</v>
      </c>
      <c r="N22" s="127">
        <f>N23+N24</f>
        <v>0</v>
      </c>
      <c r="O22" s="127">
        <f>O23+O24</f>
        <v>0</v>
      </c>
      <c r="P22" s="127">
        <f>P23+P24</f>
        <v>0</v>
      </c>
      <c r="Q22" s="127">
        <f>Q23+Q24</f>
        <v>0</v>
      </c>
      <c r="R22" s="127">
        <f>R23+R24</f>
        <v>0</v>
      </c>
      <c r="S22" s="127">
        <f>S23+S24</f>
        <v>0</v>
      </c>
      <c r="T22" s="127">
        <f>T23+T24</f>
        <v>0</v>
      </c>
      <c r="U22" s="127">
        <f>U23+U24</f>
        <v>0</v>
      </c>
      <c r="V22" s="127">
        <f>V23+V24</f>
        <v>0</v>
      </c>
      <c r="W22" s="127">
        <f>W23+W24</f>
        <v>0</v>
      </c>
      <c r="X22" s="110">
        <f>SUM(L22:W22)</f>
        <v>0</v>
      </c>
      <c r="Y22" s="129"/>
    </row>
    <row r="23" spans="1:25" s="130" customFormat="1" ht="12.75" customHeight="1" hidden="1">
      <c r="A23" s="121"/>
      <c r="B23" s="122"/>
      <c r="C23" s="131"/>
      <c r="D23" s="137" t="s">
        <v>150</v>
      </c>
      <c r="E23" s="132" t="s">
        <v>108</v>
      </c>
      <c r="F23" s="132" t="s">
        <v>108</v>
      </c>
      <c r="G23" s="132" t="s">
        <v>108</v>
      </c>
      <c r="H23" s="133">
        <f>'załcznika 2a'!H73</f>
        <v>1150000</v>
      </c>
      <c r="I23" s="134"/>
      <c r="J23" s="133">
        <f>'załcznika 2a'!J75</f>
        <v>0</v>
      </c>
      <c r="K23" s="135"/>
      <c r="L23" s="133">
        <f>'załcznika 2a'!L75</f>
        <v>0</v>
      </c>
      <c r="M23" s="133">
        <f>'załcznika 2a'!M75</f>
        <v>0</v>
      </c>
      <c r="N23" s="133">
        <f>'załcznika 2a'!N75</f>
        <v>0</v>
      </c>
      <c r="O23" s="133">
        <f>'załcznika 2a'!O75</f>
        <v>0</v>
      </c>
      <c r="P23" s="133">
        <f>'załcznika 2a'!P75</f>
        <v>0</v>
      </c>
      <c r="Q23" s="133">
        <f>'załcznika 2a'!Q75</f>
        <v>0</v>
      </c>
      <c r="R23" s="133">
        <f>'załcznika 2a'!R75</f>
        <v>0</v>
      </c>
      <c r="S23" s="133">
        <f>'załcznika 2a'!S75</f>
        <v>0</v>
      </c>
      <c r="T23" s="133">
        <f>'załcznika 2a'!T75</f>
        <v>0</v>
      </c>
      <c r="U23" s="133">
        <f>'załcznika 2a'!U75</f>
        <v>0</v>
      </c>
      <c r="V23" s="133">
        <f>'załcznika 2a'!V75</f>
        <v>0</v>
      </c>
      <c r="W23" s="133">
        <f>'załcznika 2a'!W75</f>
        <v>0</v>
      </c>
      <c r="X23" s="110">
        <f>SUM(L23:W23)</f>
        <v>0</v>
      </c>
      <c r="Y23" s="136"/>
    </row>
    <row r="24" spans="1:25" s="130" customFormat="1" ht="12.75" customHeight="1" hidden="1">
      <c r="A24" s="121"/>
      <c r="B24" s="122"/>
      <c r="C24" s="131"/>
      <c r="D24" s="131" t="s">
        <v>159</v>
      </c>
      <c r="E24" s="132" t="s">
        <v>108</v>
      </c>
      <c r="F24" s="132" t="s">
        <v>108</v>
      </c>
      <c r="G24" s="132" t="s">
        <v>108</v>
      </c>
      <c r="H24" s="133">
        <f>'załcznika 2a'!H74</f>
        <v>0</v>
      </c>
      <c r="I24" s="134"/>
      <c r="J24" s="133">
        <f>'załcznika 2a'!J76</f>
        <v>0</v>
      </c>
      <c r="K24" s="135"/>
      <c r="L24" s="133">
        <f>'załcznika 2a'!L76</f>
        <v>0</v>
      </c>
      <c r="M24" s="133">
        <f>'załcznika 2a'!M76</f>
        <v>0</v>
      </c>
      <c r="N24" s="133">
        <f>'załcznika 2a'!N76</f>
        <v>0</v>
      </c>
      <c r="O24" s="133">
        <f>'załcznika 2a'!O76</f>
        <v>0</v>
      </c>
      <c r="P24" s="133">
        <f>'załcznika 2a'!P76</f>
        <v>0</v>
      </c>
      <c r="Q24" s="133">
        <f>'załcznika 2a'!Q76</f>
        <v>0</v>
      </c>
      <c r="R24" s="133">
        <f>'załcznika 2a'!R76</f>
        <v>0</v>
      </c>
      <c r="S24" s="133">
        <f>'załcznika 2a'!S76</f>
        <v>0</v>
      </c>
      <c r="T24" s="133">
        <f>'załcznika 2a'!T76</f>
        <v>0</v>
      </c>
      <c r="U24" s="133">
        <f>'załcznika 2a'!U76</f>
        <v>0</v>
      </c>
      <c r="V24" s="133">
        <f>'załcznika 2a'!V76</f>
        <v>0</v>
      </c>
      <c r="W24" s="133">
        <f>'załcznika 2a'!W76</f>
        <v>0</v>
      </c>
      <c r="X24" s="110">
        <f>SUM(L24:W24)</f>
        <v>0</v>
      </c>
      <c r="Y24" s="136"/>
    </row>
    <row r="25" spans="1:25" s="91" customFormat="1" ht="147.75" customHeight="1">
      <c r="A25" s="121"/>
      <c r="B25" s="122"/>
      <c r="C25" s="122" t="s">
        <v>165</v>
      </c>
      <c r="D25" s="139" t="s">
        <v>167</v>
      </c>
      <c r="E25" s="126" t="s">
        <v>162</v>
      </c>
      <c r="F25" s="140"/>
      <c r="G25" s="140"/>
      <c r="H25" s="127">
        <f>H26+H27</f>
        <v>2067742</v>
      </c>
      <c r="I25" s="111">
        <f>K25/J25*100</f>
        <v>0</v>
      </c>
      <c r="J25" s="127">
        <f>J26+J27</f>
        <v>667742</v>
      </c>
      <c r="K25" s="128"/>
      <c r="L25" s="127">
        <f>L26+L27</f>
        <v>1400000</v>
      </c>
      <c r="M25" s="127">
        <f>M26+M27</f>
        <v>0</v>
      </c>
      <c r="N25" s="127">
        <f>N26+N27</f>
        <v>0</v>
      </c>
      <c r="O25" s="127">
        <f>O26+O27</f>
        <v>0</v>
      </c>
      <c r="P25" s="127">
        <f>P26+P27</f>
        <v>0</v>
      </c>
      <c r="Q25" s="127">
        <f>Q26+Q27</f>
        <v>0</v>
      </c>
      <c r="R25" s="127">
        <f>R26+R27</f>
        <v>0</v>
      </c>
      <c r="S25" s="127">
        <f>S26+S27</f>
        <v>0</v>
      </c>
      <c r="T25" s="127">
        <f>T26+T27</f>
        <v>0</v>
      </c>
      <c r="U25" s="127">
        <f>U26+U27</f>
        <v>0</v>
      </c>
      <c r="V25" s="127">
        <f>V26+V27</f>
        <v>0</v>
      </c>
      <c r="W25" s="127">
        <f>W26+W27</f>
        <v>0</v>
      </c>
      <c r="X25" s="110">
        <f>SUM(L25:W25)</f>
        <v>1400000</v>
      </c>
      <c r="Y25" s="129"/>
    </row>
    <row r="26" spans="1:25" s="130" customFormat="1" ht="32.25" customHeight="1">
      <c r="A26" s="121"/>
      <c r="B26" s="122"/>
      <c r="C26" s="131"/>
      <c r="D26" s="137" t="s">
        <v>150</v>
      </c>
      <c r="E26" s="132" t="s">
        <v>108</v>
      </c>
      <c r="F26" s="132" t="s">
        <v>108</v>
      </c>
      <c r="G26" s="132" t="s">
        <v>108</v>
      </c>
      <c r="H26" s="133">
        <f>SUM(J26:W26)</f>
        <v>0</v>
      </c>
      <c r="I26" s="134"/>
      <c r="J26" s="133"/>
      <c r="K26" s="135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10">
        <f>SUM(L26:W26)</f>
        <v>0</v>
      </c>
      <c r="Y26" s="136"/>
    </row>
    <row r="27" spans="1:25" s="130" customFormat="1" ht="30.75" customHeight="1">
      <c r="A27" s="121"/>
      <c r="B27" s="122"/>
      <c r="C27" s="131"/>
      <c r="D27" s="131" t="s">
        <v>159</v>
      </c>
      <c r="E27" s="132" t="s">
        <v>108</v>
      </c>
      <c r="F27" s="132" t="s">
        <v>108</v>
      </c>
      <c r="G27" s="132" t="s">
        <v>108</v>
      </c>
      <c r="H27" s="133">
        <f>'załcznika 2a'!H77</f>
        <v>2067742</v>
      </c>
      <c r="I27" s="134">
        <f>'załcznika 2a'!I79</f>
        <v>0.6415232230412345</v>
      </c>
      <c r="J27" s="133">
        <f>'załcznika 2a'!J79</f>
        <v>667742</v>
      </c>
      <c r="K27" s="135"/>
      <c r="L27" s="133">
        <f>'załcznika 2a'!L79</f>
        <v>1400000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10">
        <f>SUM(L27:W27)</f>
        <v>1400000</v>
      </c>
      <c r="Y27" s="136"/>
    </row>
    <row r="28" spans="1:25" s="124" customFormat="1" ht="12.75" customHeight="1" hidden="1">
      <c r="A28" s="121"/>
      <c r="B28" s="141" t="s">
        <v>168</v>
      </c>
      <c r="C28" s="123" t="s">
        <v>169</v>
      </c>
      <c r="D28" s="123"/>
      <c r="E28" s="109" t="s">
        <v>108</v>
      </c>
      <c r="F28" s="109" t="s">
        <v>108</v>
      </c>
      <c r="G28" s="109" t="s">
        <v>108</v>
      </c>
      <c r="H28" s="127">
        <f>H29+H30</f>
        <v>0</v>
      </c>
      <c r="I28" s="138"/>
      <c r="J28" s="127">
        <f>J29+J30</f>
        <v>0</v>
      </c>
      <c r="K28" s="128"/>
      <c r="L28" s="127">
        <f>L29+L30</f>
        <v>0</v>
      </c>
      <c r="M28" s="127">
        <f>M29+M30</f>
        <v>0</v>
      </c>
      <c r="N28" s="127">
        <f>N29+N30</f>
        <v>0</v>
      </c>
      <c r="O28" s="127">
        <f>O29+O30</f>
        <v>0</v>
      </c>
      <c r="P28" s="127">
        <f>P29+P30</f>
        <v>0</v>
      </c>
      <c r="Q28" s="127">
        <f>Q29+Q30</f>
        <v>0</v>
      </c>
      <c r="R28" s="127">
        <f>R29+R30</f>
        <v>0</v>
      </c>
      <c r="S28" s="127">
        <f>S29+S30</f>
        <v>0</v>
      </c>
      <c r="T28" s="127">
        <f>T29+T30</f>
        <v>0</v>
      </c>
      <c r="U28" s="127">
        <f>U29+U30</f>
        <v>0</v>
      </c>
      <c r="V28" s="127">
        <f>V29+V30</f>
        <v>0</v>
      </c>
      <c r="W28" s="127">
        <f>W29+W30</f>
        <v>0</v>
      </c>
      <c r="X28" s="110">
        <f>SUM(L28:W28)</f>
        <v>0</v>
      </c>
      <c r="Y28" s="129"/>
    </row>
    <row r="29" spans="1:25" s="114" customFormat="1" ht="12.75" customHeight="1" hidden="1">
      <c r="A29" s="121"/>
      <c r="B29" s="141"/>
      <c r="C29" s="108" t="s">
        <v>150</v>
      </c>
      <c r="D29" s="108"/>
      <c r="E29" s="109" t="s">
        <v>108</v>
      </c>
      <c r="F29" s="109" t="s">
        <v>108</v>
      </c>
      <c r="G29" s="109" t="s">
        <v>108</v>
      </c>
      <c r="H29" s="110">
        <f>H33</f>
        <v>0</v>
      </c>
      <c r="I29" s="111"/>
      <c r="J29" s="110">
        <f>J33</f>
        <v>0</v>
      </c>
      <c r="K29" s="112"/>
      <c r="L29" s="110">
        <f>L33</f>
        <v>0</v>
      </c>
      <c r="M29" s="110">
        <f>M33</f>
        <v>0</v>
      </c>
      <c r="N29" s="110">
        <f>N33</f>
        <v>0</v>
      </c>
      <c r="O29" s="110">
        <f>O33</f>
        <v>0</v>
      </c>
      <c r="P29" s="110">
        <f>P33</f>
        <v>0</v>
      </c>
      <c r="Q29" s="110">
        <f>Q33</f>
        <v>0</v>
      </c>
      <c r="R29" s="110">
        <f>R33</f>
        <v>0</v>
      </c>
      <c r="S29" s="110">
        <f>S33</f>
        <v>0</v>
      </c>
      <c r="T29" s="110">
        <f>T33</f>
        <v>0</v>
      </c>
      <c r="U29" s="110">
        <f>U33</f>
        <v>0</v>
      </c>
      <c r="V29" s="110">
        <f>V33</f>
        <v>0</v>
      </c>
      <c r="W29" s="110">
        <f>W33</f>
        <v>0</v>
      </c>
      <c r="X29" s="110">
        <f>SUM(L29:W29)</f>
        <v>0</v>
      </c>
      <c r="Y29" s="136"/>
    </row>
    <row r="30" spans="1:25" s="114" customFormat="1" ht="12.75" customHeight="1" hidden="1">
      <c r="A30" s="121"/>
      <c r="B30" s="141"/>
      <c r="C30" s="108" t="s">
        <v>151</v>
      </c>
      <c r="D30" s="108"/>
      <c r="E30" s="109" t="s">
        <v>108</v>
      </c>
      <c r="F30" s="109" t="s">
        <v>108</v>
      </c>
      <c r="G30" s="109" t="s">
        <v>108</v>
      </c>
      <c r="H30" s="110">
        <f>H34</f>
        <v>0</v>
      </c>
      <c r="I30" s="111"/>
      <c r="J30" s="110">
        <f>J34</f>
        <v>0</v>
      </c>
      <c r="K30" s="112"/>
      <c r="L30" s="110">
        <f>L34</f>
        <v>0</v>
      </c>
      <c r="M30" s="110">
        <f>M34</f>
        <v>0</v>
      </c>
      <c r="N30" s="110">
        <f>N34</f>
        <v>0</v>
      </c>
      <c r="O30" s="110">
        <f>O34</f>
        <v>0</v>
      </c>
      <c r="P30" s="110">
        <f>P34</f>
        <v>0</v>
      </c>
      <c r="Q30" s="110">
        <f>Q34</f>
        <v>0</v>
      </c>
      <c r="R30" s="110">
        <f>R34</f>
        <v>0</v>
      </c>
      <c r="S30" s="110">
        <f>S34</f>
        <v>0</v>
      </c>
      <c r="T30" s="110">
        <f>T34</f>
        <v>0</v>
      </c>
      <c r="U30" s="110">
        <f>U34</f>
        <v>0</v>
      </c>
      <c r="V30" s="110">
        <f>V34</f>
        <v>0</v>
      </c>
      <c r="W30" s="110">
        <f>W34</f>
        <v>0</v>
      </c>
      <c r="X30" s="110">
        <f>SUM(L30:W30)</f>
        <v>0</v>
      </c>
      <c r="Y30" s="136"/>
    </row>
    <row r="31" spans="1:25" s="91" customFormat="1" ht="12.75" customHeight="1" hidden="1">
      <c r="A31" s="121"/>
      <c r="B31" s="141"/>
      <c r="C31" s="116" t="s">
        <v>155</v>
      </c>
      <c r="D31" s="116"/>
      <c r="E31" s="116"/>
      <c r="F31" s="116"/>
      <c r="G31" s="116"/>
      <c r="H31" s="116"/>
      <c r="I31" s="117"/>
      <c r="J31" s="116"/>
      <c r="K31" s="118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0">
        <f>SUM(L31:W31)</f>
        <v>0</v>
      </c>
      <c r="Y31" s="120"/>
    </row>
    <row r="32" spans="1:25" ht="12.75" hidden="1">
      <c r="A32" s="121"/>
      <c r="B32" s="141"/>
      <c r="C32" s="122" t="s">
        <v>156</v>
      </c>
      <c r="D32" s="139" t="s">
        <v>170</v>
      </c>
      <c r="E32" s="142"/>
      <c r="F32" s="142"/>
      <c r="G32" s="142"/>
      <c r="H32" s="127">
        <f>H33+H34</f>
        <v>0</v>
      </c>
      <c r="I32" s="138"/>
      <c r="J32" s="127">
        <f>J33+J34</f>
        <v>0</v>
      </c>
      <c r="K32" s="128"/>
      <c r="L32" s="127">
        <f>L33+L34</f>
        <v>0</v>
      </c>
      <c r="M32" s="127">
        <f>M33+M34</f>
        <v>0</v>
      </c>
      <c r="N32" s="127">
        <f>N33+N34</f>
        <v>0</v>
      </c>
      <c r="O32" s="127">
        <f>O33+O34</f>
        <v>0</v>
      </c>
      <c r="P32" s="127">
        <f>P33+P34</f>
        <v>0</v>
      </c>
      <c r="Q32" s="127">
        <f>Q33+Q34</f>
        <v>0</v>
      </c>
      <c r="R32" s="127">
        <f>R33+R34</f>
        <v>0</v>
      </c>
      <c r="S32" s="127">
        <f>S33+S34</f>
        <v>0</v>
      </c>
      <c r="T32" s="127">
        <f>T33+T34</f>
        <v>0</v>
      </c>
      <c r="U32" s="127">
        <f>U33+U34</f>
        <v>0</v>
      </c>
      <c r="V32" s="127">
        <f>V33+V34</f>
        <v>0</v>
      </c>
      <c r="W32" s="127">
        <f>W33+W34</f>
        <v>0</v>
      </c>
      <c r="X32" s="110">
        <f>SUM(L32:W32)</f>
        <v>0</v>
      </c>
      <c r="Y32" s="129"/>
    </row>
    <row r="33" spans="1:25" s="143" customFormat="1" ht="12.75" hidden="1">
      <c r="A33" s="121"/>
      <c r="B33" s="141"/>
      <c r="C33" s="131"/>
      <c r="D33" s="137" t="s">
        <v>150</v>
      </c>
      <c r="E33" s="132" t="s">
        <v>108</v>
      </c>
      <c r="F33" s="132" t="s">
        <v>108</v>
      </c>
      <c r="G33" s="132" t="s">
        <v>108</v>
      </c>
      <c r="H33" s="133">
        <f>SUM(J33:O33)</f>
        <v>0</v>
      </c>
      <c r="I33" s="134"/>
      <c r="J33" s="133"/>
      <c r="K33" s="135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10">
        <f>SUM(L33:W33)</f>
        <v>0</v>
      </c>
      <c r="Y33" s="136"/>
    </row>
    <row r="34" spans="1:25" s="143" customFormat="1" ht="12.75" hidden="1">
      <c r="A34" s="121"/>
      <c r="B34" s="141"/>
      <c r="C34" s="131"/>
      <c r="D34" s="131" t="s">
        <v>159</v>
      </c>
      <c r="E34" s="132" t="s">
        <v>108</v>
      </c>
      <c r="F34" s="132" t="s">
        <v>108</v>
      </c>
      <c r="G34" s="132" t="s">
        <v>108</v>
      </c>
      <c r="H34" s="133">
        <f>SUM(J34:O34)</f>
        <v>0</v>
      </c>
      <c r="I34" s="134"/>
      <c r="J34" s="133"/>
      <c r="K34" s="135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10">
        <f>SUM(L34:W34)</f>
        <v>0</v>
      </c>
      <c r="Y34" s="136"/>
    </row>
    <row r="35" spans="1:25" s="124" customFormat="1" ht="47.25" customHeight="1">
      <c r="A35" s="121"/>
      <c r="B35" s="122" t="s">
        <v>171</v>
      </c>
      <c r="C35" s="123" t="s">
        <v>172</v>
      </c>
      <c r="D35" s="123"/>
      <c r="E35" s="126" t="s">
        <v>162</v>
      </c>
      <c r="F35" s="109" t="s">
        <v>108</v>
      </c>
      <c r="G35" s="109" t="s">
        <v>108</v>
      </c>
      <c r="H35" s="127">
        <f>H36+H37</f>
        <v>20374340</v>
      </c>
      <c r="I35" s="111">
        <f>K35/J35*100</f>
        <v>0</v>
      </c>
      <c r="J35" s="127">
        <f>J36+J37</f>
        <v>982750</v>
      </c>
      <c r="K35" s="128"/>
      <c r="L35" s="127">
        <f>L36+L37</f>
        <v>3031250</v>
      </c>
      <c r="M35" s="127">
        <f>M36+M37</f>
        <v>1070000</v>
      </c>
      <c r="N35" s="127">
        <f>N36+N37</f>
        <v>8675000</v>
      </c>
      <c r="O35" s="127">
        <f>O36+O37</f>
        <v>6015340</v>
      </c>
      <c r="P35" s="127">
        <f>P36+P37</f>
        <v>300000</v>
      </c>
      <c r="Q35" s="127">
        <f>Q36+Q37</f>
        <v>300000</v>
      </c>
      <c r="R35" s="127">
        <f>R36+R37</f>
        <v>0</v>
      </c>
      <c r="S35" s="127">
        <f>S36+S37</f>
        <v>0</v>
      </c>
      <c r="T35" s="127">
        <f>T36+T37</f>
        <v>0</v>
      </c>
      <c r="U35" s="127">
        <f>U36+U37</f>
        <v>0</v>
      </c>
      <c r="V35" s="127">
        <f>V36+V37</f>
        <v>0</v>
      </c>
      <c r="W35" s="127">
        <f>W36+W37</f>
        <v>0</v>
      </c>
      <c r="X35" s="110">
        <f>SUM(L35:W35)</f>
        <v>19391590</v>
      </c>
      <c r="Y35" s="129"/>
    </row>
    <row r="36" spans="1:25" s="144" customFormat="1" ht="30.75" customHeight="1">
      <c r="A36" s="121"/>
      <c r="B36" s="122"/>
      <c r="C36" s="108" t="s">
        <v>150</v>
      </c>
      <c r="D36" s="108"/>
      <c r="E36" s="109" t="s">
        <v>108</v>
      </c>
      <c r="F36" s="109" t="s">
        <v>108</v>
      </c>
      <c r="G36" s="109" t="s">
        <v>108</v>
      </c>
      <c r="H36" s="127">
        <f>'załcznika 2a'!H86</f>
        <v>0</v>
      </c>
      <c r="I36" s="111"/>
      <c r="J36" s="127">
        <f>'załcznika 2a'!J88</f>
        <v>0</v>
      </c>
      <c r="K36" s="128"/>
      <c r="L36" s="127">
        <f>'załcznika 2a'!L88</f>
        <v>0</v>
      </c>
      <c r="M36" s="127">
        <f>'załcznika 2a'!M88</f>
        <v>0</v>
      </c>
      <c r="N36" s="127">
        <f>'załcznika 2a'!N88</f>
        <v>0</v>
      </c>
      <c r="O36" s="127">
        <f>'załcznika 2a'!O88</f>
        <v>0</v>
      </c>
      <c r="P36" s="127">
        <f>'załcznika 2a'!P88</f>
        <v>0</v>
      </c>
      <c r="Q36" s="127">
        <f>'załcznika 2a'!Q88</f>
        <v>0</v>
      </c>
      <c r="R36" s="127">
        <f>'załcznika 2a'!R88</f>
        <v>0</v>
      </c>
      <c r="S36" s="127">
        <f>'załcznika 2a'!S88</f>
        <v>0</v>
      </c>
      <c r="T36" s="127">
        <f>'załcznika 2a'!T88</f>
        <v>0</v>
      </c>
      <c r="U36" s="127">
        <f>'załcznika 2a'!U88</f>
        <v>0</v>
      </c>
      <c r="V36" s="127">
        <f>'załcznika 2a'!V88</f>
        <v>0</v>
      </c>
      <c r="W36" s="127">
        <f>'załcznika 2a'!W88</f>
        <v>0</v>
      </c>
      <c r="X36" s="110">
        <f>SUM(L36:W36)</f>
        <v>0</v>
      </c>
      <c r="Y36" s="129"/>
    </row>
    <row r="37" spans="1:25" s="144" customFormat="1" ht="30.75" customHeight="1">
      <c r="A37" s="121"/>
      <c r="B37" s="122"/>
      <c r="C37" s="108" t="s">
        <v>151</v>
      </c>
      <c r="D37" s="108"/>
      <c r="E37" s="109" t="s">
        <v>108</v>
      </c>
      <c r="F37" s="109" t="s">
        <v>108</v>
      </c>
      <c r="G37" s="109" t="s">
        <v>108</v>
      </c>
      <c r="H37" s="127">
        <f>'załcznika 2a'!H87</f>
        <v>20374340</v>
      </c>
      <c r="I37" s="111">
        <f>K37/J37*100</f>
        <v>0</v>
      </c>
      <c r="J37" s="127">
        <f>'załcznika 2a'!J89</f>
        <v>982750</v>
      </c>
      <c r="K37" s="128"/>
      <c r="L37" s="127">
        <f>'załcznika 2a'!L89</f>
        <v>3031250</v>
      </c>
      <c r="M37" s="127">
        <f>'załcznika 2a'!M89</f>
        <v>1070000</v>
      </c>
      <c r="N37" s="127">
        <f>'załcznika 2a'!N89</f>
        <v>8675000</v>
      </c>
      <c r="O37" s="127">
        <f>'załcznika 2a'!O89</f>
        <v>6015340</v>
      </c>
      <c r="P37" s="127">
        <f>'załcznika 2a'!P89</f>
        <v>300000</v>
      </c>
      <c r="Q37" s="127">
        <f>'załcznika 2a'!Q89</f>
        <v>300000</v>
      </c>
      <c r="R37" s="127">
        <f>'załcznika 2a'!R89</f>
        <v>0</v>
      </c>
      <c r="S37" s="127">
        <f>'załcznika 2a'!S89</f>
        <v>0</v>
      </c>
      <c r="T37" s="127">
        <f>'załcznika 2a'!T89</f>
        <v>0</v>
      </c>
      <c r="U37" s="127">
        <f>'załcznika 2a'!U89</f>
        <v>0</v>
      </c>
      <c r="V37" s="127">
        <f>'załcznika 2a'!V89</f>
        <v>0</v>
      </c>
      <c r="W37" s="127">
        <f>'załcznika 2a'!W89</f>
        <v>0</v>
      </c>
      <c r="X37" s="110">
        <f>SUM(L37:W37)</f>
        <v>19391590</v>
      </c>
      <c r="Y37" s="129"/>
    </row>
    <row r="38" spans="1:25" ht="30.75" customHeight="1">
      <c r="A38" s="121"/>
      <c r="B38" s="122"/>
      <c r="C38" s="116" t="s">
        <v>155</v>
      </c>
      <c r="D38" s="116"/>
      <c r="E38" s="116"/>
      <c r="F38" s="116"/>
      <c r="G38" s="116"/>
      <c r="H38" s="116"/>
      <c r="I38" s="117"/>
      <c r="J38" s="116"/>
      <c r="K38" s="118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0">
        <f>SUM(L38:W38)</f>
        <v>0</v>
      </c>
      <c r="Y38" s="120"/>
    </row>
    <row r="39" spans="1:25" s="145" customFormat="1" ht="131.25" customHeight="1">
      <c r="A39" s="121"/>
      <c r="B39" s="122" t="s">
        <v>173</v>
      </c>
      <c r="C39" s="123" t="s">
        <v>174</v>
      </c>
      <c r="D39" s="123"/>
      <c r="E39" s="126" t="s">
        <v>162</v>
      </c>
      <c r="F39" s="109" t="s">
        <v>108</v>
      </c>
      <c r="G39" s="109" t="s">
        <v>108</v>
      </c>
      <c r="H39" s="127">
        <f>H40+H41</f>
        <v>21972004.3697824</v>
      </c>
      <c r="I39" s="111">
        <f>K39/J39*100</f>
        <v>0</v>
      </c>
      <c r="J39" s="127">
        <f>J40+J41</f>
        <v>1387928</v>
      </c>
      <c r="K39" s="128"/>
      <c r="L39" s="127">
        <f>L40+L41</f>
        <v>1500941</v>
      </c>
      <c r="M39" s="127">
        <f>M40+M41</f>
        <v>1538188.5</v>
      </c>
      <c r="N39" s="127">
        <f>N40+N41</f>
        <v>1567326.1875</v>
      </c>
      <c r="O39" s="127">
        <f>O40+O41</f>
        <v>1606459.3421875</v>
      </c>
      <c r="P39" s="127">
        <f>P40+P41</f>
        <v>1646570.8257421877</v>
      </c>
      <c r="Q39" s="127">
        <f>Q40+Q41</f>
        <v>1687685.0963857423</v>
      </c>
      <c r="R39" s="127">
        <f>R40+R41</f>
        <v>1727827.2237953856</v>
      </c>
      <c r="S39" s="127">
        <f>S40+S41</f>
        <v>1771022.9043902704</v>
      </c>
      <c r="T39" s="127">
        <f>T40+T41</f>
        <v>1815298.477000027</v>
      </c>
      <c r="U39" s="127">
        <f>U40+U41</f>
        <v>1860680.9389250278</v>
      </c>
      <c r="V39" s="127">
        <f>V40+V41</f>
        <v>1907197.9623981533</v>
      </c>
      <c r="W39" s="127">
        <f>W40+W41</f>
        <v>1954877.9114581072</v>
      </c>
      <c r="X39" s="110">
        <f>SUM(L39:W39)</f>
        <v>20584076.369782403</v>
      </c>
      <c r="Y39" s="129"/>
    </row>
    <row r="40" spans="1:25" s="143" customFormat="1" ht="30.75" customHeight="1">
      <c r="A40" s="121"/>
      <c r="B40" s="122"/>
      <c r="C40" s="131" t="s">
        <v>175</v>
      </c>
      <c r="D40" s="131"/>
      <c r="E40" s="146" t="s">
        <v>108</v>
      </c>
      <c r="F40" s="146" t="s">
        <v>108</v>
      </c>
      <c r="G40" s="146" t="s">
        <v>108</v>
      </c>
      <c r="H40" s="147">
        <f>'załcznika 2a'!H128</f>
        <v>21972004.3697824</v>
      </c>
      <c r="I40" s="147">
        <f>'załcznika 2a'!I128</f>
        <v>49.13375837939721</v>
      </c>
      <c r="J40" s="147">
        <f>'załcznika 2a'!J128</f>
        <v>1387928</v>
      </c>
      <c r="K40" s="147">
        <f>'załcznika 2a'!K128</f>
        <v>681941.1900000001</v>
      </c>
      <c r="L40" s="147">
        <f>'załcznika 2a'!L128</f>
        <v>1500941</v>
      </c>
      <c r="M40" s="147">
        <f>'załcznika 2a'!M128</f>
        <v>1538188.5</v>
      </c>
      <c r="N40" s="147">
        <f>'załcznika 2a'!N128</f>
        <v>1567326.1875</v>
      </c>
      <c r="O40" s="147">
        <f>'załcznika 2a'!O128</f>
        <v>1606459.3421875</v>
      </c>
      <c r="P40" s="147">
        <f>'załcznika 2a'!P128</f>
        <v>1646570.8257421877</v>
      </c>
      <c r="Q40" s="147">
        <f>'załcznika 2a'!Q128</f>
        <v>1687685.0963857423</v>
      </c>
      <c r="R40" s="147">
        <f>'załcznika 2a'!R128</f>
        <v>1727827.2237953856</v>
      </c>
      <c r="S40" s="147">
        <f>'załcznika 2a'!S128</f>
        <v>1771022.9043902704</v>
      </c>
      <c r="T40" s="147">
        <f>'załcznika 2a'!T128</f>
        <v>1815298.477000027</v>
      </c>
      <c r="U40" s="147">
        <f>'załcznika 2a'!U128</f>
        <v>1860680.9389250278</v>
      </c>
      <c r="V40" s="147">
        <f>'załcznika 2a'!V128</f>
        <v>1907197.9623981533</v>
      </c>
      <c r="W40" s="147">
        <f>'załcznika 2a'!W128</f>
        <v>1954877.9114581072</v>
      </c>
      <c r="X40" s="119">
        <f>SUM(L40:W40)</f>
        <v>20584076.369782403</v>
      </c>
      <c r="Y40" s="148"/>
    </row>
    <row r="41" spans="1:25" s="143" customFormat="1" ht="30.75" customHeight="1">
      <c r="A41" s="121"/>
      <c r="B41" s="122"/>
      <c r="C41" s="131" t="s">
        <v>151</v>
      </c>
      <c r="D41" s="131"/>
      <c r="E41" s="146" t="s">
        <v>108</v>
      </c>
      <c r="F41" s="146" t="s">
        <v>108</v>
      </c>
      <c r="G41" s="146" t="s">
        <v>108</v>
      </c>
      <c r="H41" s="147">
        <f>'załcznika 2a'!H129</f>
        <v>0</v>
      </c>
      <c r="I41" s="147">
        <f>'załcznika 2a'!I129</f>
        <v>0</v>
      </c>
      <c r="J41" s="147">
        <f>'załcznika 2a'!J129</f>
        <v>0</v>
      </c>
      <c r="K41" s="147">
        <f>'załcznika 2a'!K129</f>
        <v>0</v>
      </c>
      <c r="L41" s="147">
        <f>'załcznika 2a'!L129</f>
        <v>0</v>
      </c>
      <c r="M41" s="147">
        <f>'załcznika 2a'!M129</f>
        <v>0</v>
      </c>
      <c r="N41" s="147">
        <f>'załcznika 2a'!N129</f>
        <v>0</v>
      </c>
      <c r="O41" s="147">
        <f>'załcznika 2a'!O129</f>
        <v>0</v>
      </c>
      <c r="P41" s="147">
        <f>'załcznika 2a'!P129</f>
        <v>0</v>
      </c>
      <c r="Q41" s="147">
        <f>'załcznika 2a'!Q129</f>
        <v>0</v>
      </c>
      <c r="R41" s="147">
        <f>'załcznika 2a'!R129</f>
        <v>0</v>
      </c>
      <c r="S41" s="147">
        <f>'załcznika 2a'!S129</f>
        <v>0</v>
      </c>
      <c r="T41" s="147">
        <f>'załcznika 2a'!T129</f>
        <v>0</v>
      </c>
      <c r="U41" s="147">
        <f>'załcznika 2a'!U129</f>
        <v>0</v>
      </c>
      <c r="V41" s="147">
        <f>'załcznika 2a'!V129</f>
        <v>0</v>
      </c>
      <c r="W41" s="147">
        <f>'załcznika 2a'!W129</f>
        <v>0</v>
      </c>
      <c r="X41" s="110">
        <f>SUM(L41:W41)</f>
        <v>0</v>
      </c>
      <c r="Y41" s="148"/>
    </row>
    <row r="42" spans="1:25" s="151" customFormat="1" ht="47.25" customHeight="1">
      <c r="A42" s="121"/>
      <c r="B42" s="122" t="s">
        <v>176</v>
      </c>
      <c r="C42" s="123" t="s">
        <v>177</v>
      </c>
      <c r="D42" s="123"/>
      <c r="E42" s="126" t="s">
        <v>162</v>
      </c>
      <c r="F42" s="149" t="s">
        <v>108</v>
      </c>
      <c r="G42" s="149" t="s">
        <v>108</v>
      </c>
      <c r="H42" s="127">
        <f>'załcznika 2a'!H152</f>
        <v>4785180</v>
      </c>
      <c r="I42" s="138">
        <f>'załcznika 2a'!I152</f>
        <v>0</v>
      </c>
      <c r="J42" s="127">
        <f>'załcznika 2a'!J152</f>
        <v>23600</v>
      </c>
      <c r="K42" s="128"/>
      <c r="L42" s="127">
        <f>'załcznika 2a'!L152</f>
        <v>345771</v>
      </c>
      <c r="M42" s="127">
        <f>'załcznika 2a'!M152</f>
        <v>623810</v>
      </c>
      <c r="N42" s="127">
        <f>'załcznika 2a'!N152</f>
        <v>604422</v>
      </c>
      <c r="O42" s="127">
        <f>'załcznika 2a'!O152</f>
        <v>580383</v>
      </c>
      <c r="P42" s="127">
        <f>'załcznika 2a'!P152</f>
        <v>365760</v>
      </c>
      <c r="Q42" s="127">
        <f>'załcznika 2a'!Q152</f>
        <v>354370</v>
      </c>
      <c r="R42" s="127">
        <f>'załcznika 2a'!R152</f>
        <v>342983</v>
      </c>
      <c r="S42" s="127">
        <f>'załcznika 2a'!S152</f>
        <v>331593</v>
      </c>
      <c r="T42" s="127">
        <f>'załcznika 2a'!T152</f>
        <v>320204</v>
      </c>
      <c r="U42" s="127">
        <f>'załcznika 2a'!U152</f>
        <v>308816</v>
      </c>
      <c r="V42" s="127">
        <f>'załcznika 2a'!V152</f>
        <v>297428</v>
      </c>
      <c r="W42" s="127">
        <f>'załcznika 2a'!W152</f>
        <v>286040</v>
      </c>
      <c r="X42" s="110">
        <f>SUM(L42:W42)</f>
        <v>4761580</v>
      </c>
      <c r="Y42" s="150"/>
    </row>
    <row r="43" spans="5:25" ht="13.5">
      <c r="E43" s="95"/>
      <c r="F43" s="95"/>
      <c r="G43" s="95"/>
      <c r="H43" s="152"/>
      <c r="I43" s="153"/>
      <c r="J43" s="154"/>
      <c r="K43" s="155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</row>
    <row r="44" spans="5:7" ht="13.5">
      <c r="E44" s="95"/>
      <c r="F44" s="95"/>
      <c r="G44" s="95"/>
    </row>
    <row r="45" spans="5:7" ht="13.5">
      <c r="E45" s="95"/>
      <c r="F45" s="95"/>
      <c r="G45" s="95"/>
    </row>
    <row r="46" spans="5:7" ht="13.5">
      <c r="E46" s="95"/>
      <c r="F46" s="95"/>
      <c r="G46" s="95"/>
    </row>
    <row r="47" spans="5:7" ht="13.5">
      <c r="E47" s="95"/>
      <c r="F47" s="95"/>
      <c r="G47" s="95"/>
    </row>
    <row r="48" spans="5:7" ht="13.5">
      <c r="E48" s="95"/>
      <c r="F48" s="95"/>
      <c r="G48" s="95"/>
    </row>
    <row r="49" spans="5:7" ht="13.5">
      <c r="E49" s="95"/>
      <c r="F49" s="95"/>
      <c r="G49" s="95"/>
    </row>
    <row r="50" spans="5:7" ht="13.5">
      <c r="E50" s="95"/>
      <c r="F50" s="95"/>
      <c r="G50" s="95"/>
    </row>
    <row r="51" spans="5:7" ht="13.5">
      <c r="E51" s="95"/>
      <c r="F51" s="95"/>
      <c r="G51" s="95"/>
    </row>
  </sheetData>
  <sheetProtection selectLockedCells="1" selectUnlockedCells="1"/>
  <mergeCells count="44">
    <mergeCell ref="A1:X1"/>
    <mergeCell ref="A2:A4"/>
    <mergeCell ref="B2:D4"/>
    <mergeCell ref="E2:E4"/>
    <mergeCell ref="F2:G3"/>
    <mergeCell ref="H2:H4"/>
    <mergeCell ref="I2:W2"/>
    <mergeCell ref="X2:X4"/>
    <mergeCell ref="J3:J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B5:D5"/>
    <mergeCell ref="B6:D6"/>
    <mergeCell ref="B7:D7"/>
    <mergeCell ref="B8:D8"/>
    <mergeCell ref="B9:B27"/>
    <mergeCell ref="C9:D9"/>
    <mergeCell ref="C10:D10"/>
    <mergeCell ref="C11:D11"/>
    <mergeCell ref="C12:D12"/>
    <mergeCell ref="C28:D28"/>
    <mergeCell ref="C29:D29"/>
    <mergeCell ref="C30:D30"/>
    <mergeCell ref="C31:D31"/>
    <mergeCell ref="B35:B38"/>
    <mergeCell ref="C35:D35"/>
    <mergeCell ref="C36:D36"/>
    <mergeCell ref="C37:D37"/>
    <mergeCell ref="C38:D38"/>
    <mergeCell ref="B39:B41"/>
    <mergeCell ref="C39:D39"/>
    <mergeCell ref="C40:D40"/>
    <mergeCell ref="C41:D41"/>
    <mergeCell ref="C42:D42"/>
  </mergeCells>
  <printOptions horizontalCentered="1"/>
  <pageMargins left="0.5902777777777778" right="0.5902777777777778" top="1.1479166666666667" bottom="0.875" header="0.5902777777777778" footer="0.5902777777777778"/>
  <pageSetup horizontalDpi="300" verticalDpi="300" orientation="landscape" paperSize="9" scale="32"/>
  <headerFooter alignWithMargins="0">
    <oddHeader>&amp;R&amp;"Times New Roman,Normalny"&amp;26Załącznik nr 2  do uchwały Nr XXIII/291/2012 z dnia 31 maja 2012 r. w sprawie  wieloletniej prognozy finansowej Gminy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61"/>
  <sheetViews>
    <sheetView view="pageBreakPreview" zoomScale="50" zoomScaleSheetLayoutView="50" workbookViewId="0" topLeftCell="A1">
      <pane ySplit="4" topLeftCell="A148" activePane="bottomLeft" state="frozen"/>
      <selection pane="topLeft" activeCell="A1" sqref="A1"/>
      <selection pane="bottomLeft" activeCell="D53" sqref="D53"/>
    </sheetView>
  </sheetViews>
  <sheetFormatPr defaultColWidth="8.796875" defaultRowHeight="14.25"/>
  <cols>
    <col min="1" max="1" width="7.5" style="91" customWidth="1"/>
    <col min="2" max="2" width="5" style="91" customWidth="1"/>
    <col min="3" max="3" width="9.3984375" style="91" customWidth="1"/>
    <col min="4" max="4" width="86" style="130" customWidth="1"/>
    <col min="5" max="5" width="25.5" style="92" customWidth="1"/>
    <col min="6" max="6" width="15.296875" style="92" customWidth="1"/>
    <col min="7" max="7" width="15" style="92" customWidth="1"/>
    <col min="8" max="8" width="24.796875" style="93" customWidth="1"/>
    <col min="9" max="9" width="0" style="94" hidden="1" customWidth="1"/>
    <col min="10" max="10" width="0" style="95" hidden="1" customWidth="1"/>
    <col min="11" max="11" width="0" style="156" hidden="1" customWidth="1"/>
    <col min="12" max="12" width="24" style="95" customWidth="1"/>
    <col min="13" max="13" width="25.09765625" style="95" customWidth="1"/>
    <col min="14" max="14" width="27.5" style="95" customWidth="1"/>
    <col min="15" max="15" width="25.69921875" style="95" customWidth="1"/>
    <col min="16" max="16" width="24" style="95" customWidth="1"/>
    <col min="17" max="17" width="21.5" style="95" customWidth="1"/>
    <col min="18" max="18" width="18.796875" style="95" customWidth="1"/>
    <col min="19" max="21" width="18.5" style="95" customWidth="1"/>
    <col min="22" max="22" width="17.796875" style="95" customWidth="1"/>
    <col min="23" max="23" width="16.296875" style="95" customWidth="1"/>
    <col min="24" max="24" width="21.5" style="95" customWidth="1"/>
    <col min="25" max="25" width="9" style="95" customWidth="1"/>
    <col min="26" max="16384" width="9" style="92" customWidth="1"/>
  </cols>
  <sheetData>
    <row r="1" spans="1:25" s="159" customFormat="1" ht="69" customHeight="1">
      <c r="A1" s="157" t="s">
        <v>178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8"/>
    </row>
    <row r="2" spans="1:25" s="163" customFormat="1" ht="38.25" customHeight="1">
      <c r="A2" s="160" t="s">
        <v>2</v>
      </c>
      <c r="B2" s="160" t="s">
        <v>3</v>
      </c>
      <c r="C2" s="160"/>
      <c r="D2" s="160"/>
      <c r="E2" s="160" t="s">
        <v>141</v>
      </c>
      <c r="F2" s="160" t="s">
        <v>142</v>
      </c>
      <c r="G2" s="160"/>
      <c r="H2" s="160" t="s">
        <v>143</v>
      </c>
      <c r="I2" s="161" t="s">
        <v>144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0" t="s">
        <v>145</v>
      </c>
      <c r="Y2" s="162"/>
    </row>
    <row r="3" spans="1:25" s="166" customFormat="1" ht="37.5" customHeight="1">
      <c r="A3" s="160"/>
      <c r="B3" s="160"/>
      <c r="C3" s="160"/>
      <c r="D3" s="160"/>
      <c r="E3" s="160"/>
      <c r="F3" s="160"/>
      <c r="G3" s="160"/>
      <c r="H3" s="160"/>
      <c r="I3" s="164" t="s">
        <v>12</v>
      </c>
      <c r="J3" s="164"/>
      <c r="K3" s="164"/>
      <c r="L3" s="161" t="s">
        <v>146</v>
      </c>
      <c r="M3" s="161" t="s">
        <v>13</v>
      </c>
      <c r="N3" s="161" t="s">
        <v>14</v>
      </c>
      <c r="O3" s="161" t="s">
        <v>15</v>
      </c>
      <c r="P3" s="161" t="s">
        <v>16</v>
      </c>
      <c r="Q3" s="161" t="s">
        <v>17</v>
      </c>
      <c r="R3" s="161" t="s">
        <v>18</v>
      </c>
      <c r="S3" s="161" t="s">
        <v>19</v>
      </c>
      <c r="T3" s="161" t="s">
        <v>20</v>
      </c>
      <c r="U3" s="161" t="s">
        <v>21</v>
      </c>
      <c r="V3" s="161" t="s">
        <v>22</v>
      </c>
      <c r="W3" s="161" t="s">
        <v>23</v>
      </c>
      <c r="X3" s="160"/>
      <c r="Y3" s="165"/>
    </row>
    <row r="4" spans="1:25" s="166" customFormat="1" ht="36" customHeight="1">
      <c r="A4" s="160"/>
      <c r="B4" s="160"/>
      <c r="C4" s="160"/>
      <c r="D4" s="160"/>
      <c r="E4" s="160"/>
      <c r="F4" s="161" t="s">
        <v>147</v>
      </c>
      <c r="G4" s="161" t="s">
        <v>148</v>
      </c>
      <c r="H4" s="160"/>
      <c r="I4" s="164"/>
      <c r="J4" s="164"/>
      <c r="K4" s="164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0"/>
      <c r="Y4" s="165"/>
    </row>
    <row r="5" spans="1:25" s="171" customFormat="1" ht="17.25" customHeight="1">
      <c r="A5" s="167">
        <v>1</v>
      </c>
      <c r="B5" s="167">
        <v>2</v>
      </c>
      <c r="C5" s="167"/>
      <c r="D5" s="167"/>
      <c r="E5" s="167">
        <v>3</v>
      </c>
      <c r="F5" s="167">
        <v>4</v>
      </c>
      <c r="G5" s="167">
        <v>5</v>
      </c>
      <c r="H5" s="167">
        <v>6</v>
      </c>
      <c r="I5" s="168"/>
      <c r="J5" s="167">
        <v>7</v>
      </c>
      <c r="K5" s="169"/>
      <c r="L5" s="167">
        <v>8</v>
      </c>
      <c r="M5" s="167">
        <v>9</v>
      </c>
      <c r="N5" s="167">
        <v>10</v>
      </c>
      <c r="O5" s="167">
        <v>11</v>
      </c>
      <c r="P5" s="167">
        <v>12</v>
      </c>
      <c r="Q5" s="167">
        <v>13</v>
      </c>
      <c r="R5" s="167">
        <v>14</v>
      </c>
      <c r="S5" s="167">
        <v>15</v>
      </c>
      <c r="T5" s="167">
        <v>16</v>
      </c>
      <c r="U5" s="167">
        <v>17</v>
      </c>
      <c r="V5" s="167">
        <v>18</v>
      </c>
      <c r="W5" s="167">
        <v>19</v>
      </c>
      <c r="X5" s="167">
        <v>20</v>
      </c>
      <c r="Y5" s="170"/>
    </row>
    <row r="6" spans="1:25" s="179" customFormat="1" ht="45.75" customHeight="1">
      <c r="A6" s="172" t="s">
        <v>24</v>
      </c>
      <c r="B6" s="173" t="s">
        <v>149</v>
      </c>
      <c r="C6" s="173"/>
      <c r="D6" s="173"/>
      <c r="E6" s="161" t="s">
        <v>108</v>
      </c>
      <c r="F6" s="161" t="s">
        <v>108</v>
      </c>
      <c r="G6" s="161" t="s">
        <v>108</v>
      </c>
      <c r="H6" s="174">
        <f>SUM(J6:W6)-K6</f>
        <v>63110748.194782384</v>
      </c>
      <c r="I6" s="175">
        <f>K6/J6*100</f>
        <v>109.61331946562764</v>
      </c>
      <c r="J6" s="176">
        <f>J7+J8</f>
        <v>3865095</v>
      </c>
      <c r="K6" s="177">
        <f>K7+K8</f>
        <v>4236658.930000001</v>
      </c>
      <c r="L6" s="176">
        <f>L7+L8</f>
        <v>7703735</v>
      </c>
      <c r="M6" s="176">
        <f>M7+M8</f>
        <v>10064988.325</v>
      </c>
      <c r="N6" s="176">
        <f>N7+N8</f>
        <v>13886392.1875</v>
      </c>
      <c r="O6" s="176">
        <f>O7+O8</f>
        <v>9512182.3421875</v>
      </c>
      <c r="P6" s="176">
        <f>P7+P8</f>
        <v>2812330.825742188</v>
      </c>
      <c r="Q6" s="176">
        <f>Q7+Q8</f>
        <v>2342055.0963857425</v>
      </c>
      <c r="R6" s="176">
        <f>R7+R8</f>
        <v>2070810.2237953856</v>
      </c>
      <c r="S6" s="176">
        <f>S7+S8</f>
        <v>2102615.9043902704</v>
      </c>
      <c r="T6" s="176">
        <f>T7+T8</f>
        <v>2135502.477000027</v>
      </c>
      <c r="U6" s="176">
        <f>U7+U8</f>
        <v>2169496.938925028</v>
      </c>
      <c r="V6" s="176">
        <f>V7+V8</f>
        <v>2204625.9623981533</v>
      </c>
      <c r="W6" s="176">
        <f>W7+W8</f>
        <v>2240917.911458107</v>
      </c>
      <c r="X6" s="176">
        <f>X7+X8</f>
        <v>59245653.194782406</v>
      </c>
      <c r="Y6" s="178"/>
    </row>
    <row r="7" spans="1:25" s="179" customFormat="1" ht="30.75" customHeight="1">
      <c r="A7" s="172" t="s">
        <v>26</v>
      </c>
      <c r="B7" s="173" t="s">
        <v>150</v>
      </c>
      <c r="C7" s="173"/>
      <c r="D7" s="173"/>
      <c r="E7" s="161" t="s">
        <v>108</v>
      </c>
      <c r="F7" s="161" t="s">
        <v>108</v>
      </c>
      <c r="G7" s="161" t="s">
        <v>108</v>
      </c>
      <c r="H7" s="174">
        <f>SUM(J7:W7)-K7</f>
        <v>27422792.194782402</v>
      </c>
      <c r="I7" s="175">
        <f>K7/J7*100</f>
        <v>47.50447032290351</v>
      </c>
      <c r="J7" s="176">
        <f>J11+J81+J88+J128+J152</f>
        <v>1624603</v>
      </c>
      <c r="K7" s="177">
        <f>K11+K81+K88+K128+K152</f>
        <v>771759.05</v>
      </c>
      <c r="L7" s="176">
        <f>L11+L81+L88+L128+L152</f>
        <v>2070185</v>
      </c>
      <c r="M7" s="176">
        <f>M11+M81+M88+M128+M152</f>
        <v>2391058.325</v>
      </c>
      <c r="N7" s="176">
        <f>N11+N81+N88+N128+N152</f>
        <v>2171748.1875</v>
      </c>
      <c r="O7" s="176">
        <f>O11+O81+O88+O128+O152</f>
        <v>2186842.3421875</v>
      </c>
      <c r="P7" s="176">
        <f>P11+P81+P88+P128+P152</f>
        <v>2012330.8257421877</v>
      </c>
      <c r="Q7" s="176">
        <f>Q11+Q81+Q88+Q128+Q152</f>
        <v>2042055.0963857423</v>
      </c>
      <c r="R7" s="176">
        <f>R11+R81+R88+R128+R152</f>
        <v>2070810.2237953856</v>
      </c>
      <c r="S7" s="176">
        <f>S11+S81+S88+S128+S152</f>
        <v>2102615.9043902704</v>
      </c>
      <c r="T7" s="176">
        <f>T11+T81+T88+T128+T152</f>
        <v>2135502.477000027</v>
      </c>
      <c r="U7" s="176">
        <f>U11+U81+U88+U128+U152</f>
        <v>2169496.938925028</v>
      </c>
      <c r="V7" s="176">
        <f>V11+V81+V88+V128+V152</f>
        <v>2204625.9623981533</v>
      </c>
      <c r="W7" s="176">
        <f>W11+W81+W88+W128+W152</f>
        <v>2240917.911458107</v>
      </c>
      <c r="X7" s="176">
        <f>X11+X81+X88+X128+X152</f>
        <v>25798189.194782402</v>
      </c>
      <c r="Y7" s="178"/>
    </row>
    <row r="8" spans="1:25" s="179" customFormat="1" ht="35.25" customHeight="1">
      <c r="A8" s="172" t="s">
        <v>28</v>
      </c>
      <c r="B8" s="173" t="s">
        <v>151</v>
      </c>
      <c r="C8" s="173"/>
      <c r="D8" s="173"/>
      <c r="E8" s="161" t="s">
        <v>108</v>
      </c>
      <c r="F8" s="161" t="s">
        <v>108</v>
      </c>
      <c r="G8" s="161" t="s">
        <v>108</v>
      </c>
      <c r="H8" s="174">
        <f>SUM(J8:W8)-K8</f>
        <v>35687956</v>
      </c>
      <c r="I8" s="175">
        <f>K8/J8*100</f>
        <v>154.64906279513608</v>
      </c>
      <c r="J8" s="176">
        <f>J12+J82+J89+J129</f>
        <v>2240492</v>
      </c>
      <c r="K8" s="177">
        <f>K12+K82+K89+K129</f>
        <v>3464899.8800000004</v>
      </c>
      <c r="L8" s="176">
        <f>L12+L82+L89+L129</f>
        <v>5633550</v>
      </c>
      <c r="M8" s="176">
        <f>M12+M82+M89+M129</f>
        <v>7673930</v>
      </c>
      <c r="N8" s="176">
        <f>N12+N82+N89+N129</f>
        <v>11714644</v>
      </c>
      <c r="O8" s="176">
        <f>O12+O82+O89+O129</f>
        <v>7325340</v>
      </c>
      <c r="P8" s="176">
        <f>P12+P82+P89+P129</f>
        <v>800000</v>
      </c>
      <c r="Q8" s="176">
        <f>Q12+Q82+Q89+Q129</f>
        <v>300000</v>
      </c>
      <c r="R8" s="176">
        <f>R12+R82+R89+R129</f>
        <v>0</v>
      </c>
      <c r="S8" s="176">
        <f>S12+S82+S89+S129</f>
        <v>0</v>
      </c>
      <c r="T8" s="176">
        <f>T12+T82+T89+T129</f>
        <v>0</v>
      </c>
      <c r="U8" s="176">
        <f>U12+U82+U89+U129</f>
        <v>0</v>
      </c>
      <c r="V8" s="176">
        <f>V12+V82+V89+V129</f>
        <v>0</v>
      </c>
      <c r="W8" s="176">
        <f>W12+W82+W89+W129</f>
        <v>0</v>
      </c>
      <c r="X8" s="176">
        <f>X12+X82+X89+X129</f>
        <v>33447464</v>
      </c>
      <c r="Y8" s="178"/>
    </row>
    <row r="9" spans="1:25" s="184" customFormat="1" ht="19.5" customHeight="1">
      <c r="A9" s="180"/>
      <c r="B9" s="180" t="s">
        <v>152</v>
      </c>
      <c r="C9" s="180"/>
      <c r="D9" s="180"/>
      <c r="E9" s="180"/>
      <c r="F9" s="180"/>
      <c r="G9" s="180"/>
      <c r="H9" s="174">
        <f>SUM(J9:W9)-K9</f>
        <v>0</v>
      </c>
      <c r="I9" s="175"/>
      <c r="J9" s="180"/>
      <c r="K9" s="181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2">
        <f>SUM(J9:W9)</f>
        <v>0</v>
      </c>
      <c r="Y9" s="183"/>
    </row>
    <row r="10" spans="1:25" s="187" customFormat="1" ht="77.25" customHeight="1">
      <c r="A10" s="185"/>
      <c r="B10" s="186" t="s">
        <v>153</v>
      </c>
      <c r="C10" s="173" t="s">
        <v>154</v>
      </c>
      <c r="D10" s="173"/>
      <c r="E10" s="161" t="s">
        <v>108</v>
      </c>
      <c r="F10" s="161" t="s">
        <v>108</v>
      </c>
      <c r="G10" s="161" t="s">
        <v>108</v>
      </c>
      <c r="H10" s="174">
        <f>SUM(J10:W10)-K10</f>
        <v>15979223.825000001</v>
      </c>
      <c r="I10" s="175">
        <f>K10/J10*100</f>
        <v>7.020015406403381</v>
      </c>
      <c r="J10" s="176">
        <f>J11+J12</f>
        <v>1470817</v>
      </c>
      <c r="K10" s="177">
        <f>K11+K12</f>
        <v>103251.58</v>
      </c>
      <c r="L10" s="176">
        <f>L11+L12</f>
        <v>2825773</v>
      </c>
      <c r="M10" s="176">
        <f>M11+M12</f>
        <v>6832989.825</v>
      </c>
      <c r="N10" s="176">
        <f>N11+N12</f>
        <v>3039644</v>
      </c>
      <c r="O10" s="176">
        <f>O11+O12</f>
        <v>1310000</v>
      </c>
      <c r="P10" s="176">
        <f>P11+P12</f>
        <v>500000</v>
      </c>
      <c r="Q10" s="176">
        <f>Q11+Q12</f>
        <v>0</v>
      </c>
      <c r="R10" s="176">
        <f>R11+R12</f>
        <v>0</v>
      </c>
      <c r="S10" s="176">
        <f>S11+S12</f>
        <v>0</v>
      </c>
      <c r="T10" s="176">
        <f>T11+T12</f>
        <v>0</v>
      </c>
      <c r="U10" s="176">
        <f>U11+U12</f>
        <v>0</v>
      </c>
      <c r="V10" s="176">
        <f>V11+V12</f>
        <v>0</v>
      </c>
      <c r="W10" s="176">
        <f>W11+W12</f>
        <v>0</v>
      </c>
      <c r="X10" s="176">
        <f>X11+X12</f>
        <v>14508406.825</v>
      </c>
      <c r="Y10" s="178"/>
    </row>
    <row r="11" spans="1:25" s="179" customFormat="1" ht="30.75" customHeight="1">
      <c r="A11" s="188"/>
      <c r="B11" s="189"/>
      <c r="C11" s="173" t="s">
        <v>150</v>
      </c>
      <c r="D11" s="173"/>
      <c r="E11" s="161" t="s">
        <v>108</v>
      </c>
      <c r="F11" s="161" t="s">
        <v>108</v>
      </c>
      <c r="G11" s="161" t="s">
        <v>108</v>
      </c>
      <c r="H11" s="174">
        <f>SUM(J11:W11)-K11</f>
        <v>665607.8250000001</v>
      </c>
      <c r="I11" s="175">
        <f>K11/J11*100</f>
        <v>42.15316672533146</v>
      </c>
      <c r="J11" s="176">
        <f>J15+J18+J78+J75+J60</f>
        <v>213075</v>
      </c>
      <c r="K11" s="177">
        <f>K15+K18+K78+K75+K60</f>
        <v>89817.86</v>
      </c>
      <c r="L11" s="176">
        <f>L15+L18+L78+L75+L60</f>
        <v>223473</v>
      </c>
      <c r="M11" s="176">
        <f>M15+M18+M78+M75+M60</f>
        <v>229059.825</v>
      </c>
      <c r="N11" s="176">
        <f>N15+N18+N78+N75+N60</f>
        <v>0</v>
      </c>
      <c r="O11" s="176">
        <f>O15+O18+O78+O75+O60</f>
        <v>0</v>
      </c>
      <c r="P11" s="176">
        <f>P15+P18+P78+P75+P60</f>
        <v>0</v>
      </c>
      <c r="Q11" s="176">
        <f>Q15+Q18+Q78+Q75+Q60</f>
        <v>0</v>
      </c>
      <c r="R11" s="176">
        <f>R15+R18+R78+R75+R60</f>
        <v>0</v>
      </c>
      <c r="S11" s="176">
        <f>S15+S18+S78+S75+S60</f>
        <v>0</v>
      </c>
      <c r="T11" s="176">
        <f>T15+T18+T78+T75+T60</f>
        <v>0</v>
      </c>
      <c r="U11" s="176">
        <f>U15+U18+U78+U75+U60</f>
        <v>0</v>
      </c>
      <c r="V11" s="176">
        <f>V15+V18+V78+V75+V60</f>
        <v>0</v>
      </c>
      <c r="W11" s="176">
        <f>W15+W18+W78+W75+W60</f>
        <v>0</v>
      </c>
      <c r="X11" s="176">
        <f>X15+X18+X78+X75+X60</f>
        <v>452532.825</v>
      </c>
      <c r="Y11" s="178"/>
    </row>
    <row r="12" spans="1:25" s="179" customFormat="1" ht="30.75" customHeight="1">
      <c r="A12" s="188"/>
      <c r="B12" s="189"/>
      <c r="C12" s="173" t="s">
        <v>151</v>
      </c>
      <c r="D12" s="173"/>
      <c r="E12" s="161" t="s">
        <v>108</v>
      </c>
      <c r="F12" s="161" t="s">
        <v>108</v>
      </c>
      <c r="G12" s="161" t="s">
        <v>108</v>
      </c>
      <c r="H12" s="174">
        <f>SUM(J12:W12)-K12</f>
        <v>15313616</v>
      </c>
      <c r="I12" s="175">
        <f>K12/J12*100</f>
        <v>1.0680823253099603</v>
      </c>
      <c r="J12" s="176">
        <f>J16+J19+J79+J76+J61</f>
        <v>1257742</v>
      </c>
      <c r="K12" s="177">
        <f>K16+K19+K79+K76+K61</f>
        <v>13433.720000000001</v>
      </c>
      <c r="L12" s="176">
        <f>L16+L19+L79+L76+L61</f>
        <v>2602300</v>
      </c>
      <c r="M12" s="176">
        <f>M16+M19+M79+M76+M61</f>
        <v>6603930</v>
      </c>
      <c r="N12" s="176">
        <f>N16+N19+N79+N76+N61</f>
        <v>3039644</v>
      </c>
      <c r="O12" s="176">
        <f>O16+O19+O79+O76+O61</f>
        <v>1310000</v>
      </c>
      <c r="P12" s="176">
        <f>P16+P19+P79+P76+P61</f>
        <v>500000</v>
      </c>
      <c r="Q12" s="176">
        <f>Q16+Q19+Q79+Q76+Q61</f>
        <v>0</v>
      </c>
      <c r="R12" s="176">
        <f>R16+R19+R79+R76+R61</f>
        <v>0</v>
      </c>
      <c r="S12" s="176">
        <f>S16+S19+S79+S76+S61</f>
        <v>0</v>
      </c>
      <c r="T12" s="176">
        <f>T16+T19+T79+T76+T61</f>
        <v>0</v>
      </c>
      <c r="U12" s="176">
        <f>U16+U19+U79+U76+U61</f>
        <v>0</v>
      </c>
      <c r="V12" s="176">
        <f>V16+V19+V79+V76+V61</f>
        <v>0</v>
      </c>
      <c r="W12" s="176">
        <f>W16+W19+W79+W76+W61</f>
        <v>0</v>
      </c>
      <c r="X12" s="176">
        <f>X16+X19+X79+X76+X61</f>
        <v>14055874</v>
      </c>
      <c r="Y12" s="178"/>
    </row>
    <row r="13" spans="1:25" s="184" customFormat="1" ht="30.75" customHeight="1">
      <c r="A13" s="188"/>
      <c r="B13" s="189"/>
      <c r="C13" s="180" t="s">
        <v>155</v>
      </c>
      <c r="D13" s="180"/>
      <c r="E13" s="180"/>
      <c r="F13" s="180"/>
      <c r="G13" s="180"/>
      <c r="H13" s="174"/>
      <c r="I13" s="175"/>
      <c r="J13" s="180"/>
      <c r="K13" s="181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2">
        <f>SUM(J13:W13)</f>
        <v>0</v>
      </c>
      <c r="Y13" s="183"/>
    </row>
    <row r="14" spans="1:25" s="179" customFormat="1" ht="75">
      <c r="A14" s="188"/>
      <c r="B14" s="189"/>
      <c r="C14" s="161" t="s">
        <v>156</v>
      </c>
      <c r="D14" s="190" t="s">
        <v>179</v>
      </c>
      <c r="E14" s="160" t="s">
        <v>158</v>
      </c>
      <c r="F14" s="160">
        <v>2011</v>
      </c>
      <c r="G14" s="160">
        <v>2013</v>
      </c>
      <c r="H14" s="174">
        <f>SUM(J14:W14)-K14</f>
        <v>665607.8250000001</v>
      </c>
      <c r="I14" s="175">
        <f>K14/J14*100</f>
        <v>42.15316672533146</v>
      </c>
      <c r="J14" s="191">
        <f>J15+J16</f>
        <v>213075</v>
      </c>
      <c r="K14" s="192">
        <f>K15+K16</f>
        <v>89817.86</v>
      </c>
      <c r="L14" s="191">
        <f>L15+L16</f>
        <v>223473</v>
      </c>
      <c r="M14" s="191">
        <f>M15+M16</f>
        <v>229059.825</v>
      </c>
      <c r="N14" s="191">
        <f>N15+N16</f>
        <v>0</v>
      </c>
      <c r="O14" s="191">
        <f>O15+O16</f>
        <v>0</v>
      </c>
      <c r="P14" s="191">
        <f>P15+P16</f>
        <v>0</v>
      </c>
      <c r="Q14" s="191">
        <f>Q15+Q16</f>
        <v>0</v>
      </c>
      <c r="R14" s="191">
        <f>R15+R16</f>
        <v>0</v>
      </c>
      <c r="S14" s="191">
        <f>S15+S16</f>
        <v>0</v>
      </c>
      <c r="T14" s="191">
        <f>T15+T16</f>
        <v>0</v>
      </c>
      <c r="U14" s="191">
        <f>U15+U16</f>
        <v>0</v>
      </c>
      <c r="V14" s="191">
        <f>V15+V16</f>
        <v>0</v>
      </c>
      <c r="W14" s="191">
        <f>W15+W16</f>
        <v>0</v>
      </c>
      <c r="X14" s="191">
        <f>X15+X16</f>
        <v>452532.825</v>
      </c>
      <c r="Y14" s="193"/>
    </row>
    <row r="15" spans="1:25" s="198" customFormat="1" ht="30.75" customHeight="1">
      <c r="A15" s="188"/>
      <c r="B15" s="189"/>
      <c r="C15" s="180"/>
      <c r="D15" s="180" t="s">
        <v>150</v>
      </c>
      <c r="E15" s="194" t="s">
        <v>108</v>
      </c>
      <c r="F15" s="194" t="s">
        <v>108</v>
      </c>
      <c r="G15" s="194" t="s">
        <v>108</v>
      </c>
      <c r="H15" s="182">
        <f>SUM(J15:W15)-K15</f>
        <v>665607.8250000001</v>
      </c>
      <c r="I15" s="195">
        <f>K15/J15*100</f>
        <v>42.15316672533146</v>
      </c>
      <c r="J15" s="182">
        <v>213075</v>
      </c>
      <c r="K15" s="196">
        <v>89817.86</v>
      </c>
      <c r="L15" s="182">
        <v>223473</v>
      </c>
      <c r="M15" s="182">
        <f>(L15*0.025)+L15</f>
        <v>229059.825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>
        <f>SUM(L15:W15)</f>
        <v>452532.825</v>
      </c>
      <c r="Y15" s="197"/>
    </row>
    <row r="16" spans="1:25" s="198" customFormat="1" ht="30.75" customHeight="1">
      <c r="A16" s="188"/>
      <c r="B16" s="189"/>
      <c r="C16" s="180"/>
      <c r="D16" s="180" t="s">
        <v>159</v>
      </c>
      <c r="E16" s="194" t="s">
        <v>108</v>
      </c>
      <c r="F16" s="194" t="s">
        <v>108</v>
      </c>
      <c r="G16" s="194" t="s">
        <v>108</v>
      </c>
      <c r="H16" s="182"/>
      <c r="I16" s="195"/>
      <c r="J16" s="199"/>
      <c r="K16" s="200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82">
        <f>SUM(L16:W16)</f>
        <v>0</v>
      </c>
      <c r="Y16" s="197"/>
    </row>
    <row r="17" spans="1:25" s="179" customFormat="1" ht="30.75" customHeight="1">
      <c r="A17" s="188"/>
      <c r="B17" s="189"/>
      <c r="C17" s="161" t="s">
        <v>160</v>
      </c>
      <c r="D17" s="190" t="s">
        <v>161</v>
      </c>
      <c r="E17" s="160" t="s">
        <v>162</v>
      </c>
      <c r="F17" s="160">
        <v>2011</v>
      </c>
      <c r="G17" s="160">
        <v>2016</v>
      </c>
      <c r="H17" s="174">
        <f>SUM(J17:W17)-K17</f>
        <v>10953874</v>
      </c>
      <c r="I17" s="175">
        <f>K17/J17*100</f>
        <v>1.5508474576271187</v>
      </c>
      <c r="J17" s="191">
        <f>J18+J19</f>
        <v>590000</v>
      </c>
      <c r="K17" s="192">
        <f>K18+K19</f>
        <v>9150</v>
      </c>
      <c r="L17" s="191">
        <f>L18+L19</f>
        <v>702300</v>
      </c>
      <c r="M17" s="191">
        <f>M18+M19</f>
        <v>5411930</v>
      </c>
      <c r="N17" s="191">
        <f>N18+N19</f>
        <v>2439644</v>
      </c>
      <c r="O17" s="191">
        <f>O18+O19</f>
        <v>1310000</v>
      </c>
      <c r="P17" s="191">
        <f>P18+P19</f>
        <v>500000</v>
      </c>
      <c r="Q17" s="191">
        <f>Q18+Q19</f>
        <v>0</v>
      </c>
      <c r="R17" s="191">
        <f>R18+R19</f>
        <v>0</v>
      </c>
      <c r="S17" s="191">
        <f>S18+S19</f>
        <v>0</v>
      </c>
      <c r="T17" s="191">
        <f>T18+T19</f>
        <v>0</v>
      </c>
      <c r="U17" s="191">
        <f>U18+U19</f>
        <v>0</v>
      </c>
      <c r="V17" s="191">
        <f>V18+V19</f>
        <v>0</v>
      </c>
      <c r="W17" s="191">
        <f>W18+W19</f>
        <v>0</v>
      </c>
      <c r="X17" s="191">
        <f>X18+X19</f>
        <v>10363874</v>
      </c>
      <c r="Y17" s="193"/>
    </row>
    <row r="18" spans="1:25" s="198" customFormat="1" ht="30.75" customHeight="1">
      <c r="A18" s="188"/>
      <c r="B18" s="189"/>
      <c r="C18" s="180"/>
      <c r="D18" s="201" t="s">
        <v>150</v>
      </c>
      <c r="E18" s="194" t="s">
        <v>108</v>
      </c>
      <c r="F18" s="194" t="s">
        <v>108</v>
      </c>
      <c r="G18" s="194" t="s">
        <v>108</v>
      </c>
      <c r="H18" s="182"/>
      <c r="I18" s="195" t="e">
        <f>K18/J18*100</f>
        <v>#DIV/0!</v>
      </c>
      <c r="J18" s="182">
        <f>J21+J24+J27+J30+J33+J36+J39+J42+J45</f>
        <v>0</v>
      </c>
      <c r="K18" s="196">
        <f>K21+K24+K27+K30+K33+K36+K39+K42+K45</f>
        <v>0</v>
      </c>
      <c r="L18" s="182">
        <f>L21+L24+L27+L30+L33+L36+L39+L42+L45+L48+L51+L54+L57</f>
        <v>0</v>
      </c>
      <c r="M18" s="182">
        <f>M21+M24+M27+M30+M33+M36+M39+M42+M45+M48+M51+M54+M57</f>
        <v>0</v>
      </c>
      <c r="N18" s="182">
        <f>N21+N24+N27+N30+N33+N36+N39+N42+N45+N48+N51+N54+N57</f>
        <v>0</v>
      </c>
      <c r="O18" s="182">
        <f>O21+O24+O27+O30+O33+O36+O39+O42+O45+O48+O51+O54+O57</f>
        <v>0</v>
      </c>
      <c r="P18" s="182">
        <f>P21+P24+P27+P30+P33+P36+P39+P42+P45+P48+P51+P54+P57</f>
        <v>0</v>
      </c>
      <c r="Q18" s="182">
        <f>Q21+Q24+Q27+Q30+Q33+Q36+Q39+Q42+Q45+Q48+Q51+Q54+Q57</f>
        <v>0</v>
      </c>
      <c r="R18" s="182">
        <f>R21+R24+R27+R30+R33+R36+R39+R42+R45+R48+R51+R54+R57</f>
        <v>0</v>
      </c>
      <c r="S18" s="182">
        <f>S21+S24+S27+S30+S33+S36+S39+S42+S45+S48+S51+S54+S57</f>
        <v>0</v>
      </c>
      <c r="T18" s="182">
        <f>T21+T24+T27+T30+T33+T36+T39+T42+T45+T48+T51+T54+T57</f>
        <v>0</v>
      </c>
      <c r="U18" s="182">
        <f>U21+U24+U27+U30+U33+U36+U39+U42+U45+U48+U51+U54+U57</f>
        <v>0</v>
      </c>
      <c r="V18" s="182">
        <f>V21+V24+V27+V30+V33+V36+V39+V42+V45+V48+V51+V54+V57</f>
        <v>0</v>
      </c>
      <c r="W18" s="182">
        <f>W21+W24+W27+W30+W33+W36+W39+W42+W45+W48+W51+W54+W57</f>
        <v>0</v>
      </c>
      <c r="X18" s="182">
        <f>SUM(L18:W18)</f>
        <v>0</v>
      </c>
      <c r="Y18" s="197"/>
    </row>
    <row r="19" spans="1:25" s="198" customFormat="1" ht="30.75" customHeight="1">
      <c r="A19" s="188"/>
      <c r="B19" s="189"/>
      <c r="C19" s="180"/>
      <c r="D19" s="180" t="s">
        <v>159</v>
      </c>
      <c r="E19" s="194" t="s">
        <v>108</v>
      </c>
      <c r="F19" s="194" t="s">
        <v>108</v>
      </c>
      <c r="G19" s="194" t="s">
        <v>108</v>
      </c>
      <c r="H19" s="182">
        <f>SUM(J19:W19)-K19</f>
        <v>10953874</v>
      </c>
      <c r="I19" s="195">
        <f>K19/J19*100</f>
        <v>1.5508474576271187</v>
      </c>
      <c r="J19" s="182">
        <f>J22+J25+J28+J31+J34+J37+J40+J43+J46</f>
        <v>590000</v>
      </c>
      <c r="K19" s="196">
        <f>K22+K25+K28+K31+K34+K37+K40+K43+K46</f>
        <v>9150</v>
      </c>
      <c r="L19" s="182">
        <f>L22+L25+L28+L31+L34+L37+L40+L43+L46+L49+L52+L55+L58</f>
        <v>702300</v>
      </c>
      <c r="M19" s="182">
        <f>M22+M25+M28+M31+M34+M37+M40+M43+M46+M49+M52+M55+M58</f>
        <v>5411930</v>
      </c>
      <c r="N19" s="182">
        <f>N22+N25+N28+N31+N34+N37+N40+N43+N46+N49+N52+N55+N58</f>
        <v>2439644</v>
      </c>
      <c r="O19" s="182">
        <f>O22+O25+O28+O31+O34+O37+O40+O43+O46+O49+O52+O55+O58</f>
        <v>1310000</v>
      </c>
      <c r="P19" s="182">
        <f>P22+P25+P28+P31+P34+P37+P40+P43+P46+P49+P52+P55+P58</f>
        <v>500000</v>
      </c>
      <c r="Q19" s="182">
        <f>Q22+Q25+Q28+Q31+Q34+Q37+Q40+Q43+Q46+Q49+Q52+Q55+Q58</f>
        <v>0</v>
      </c>
      <c r="R19" s="182">
        <f>R22+R25+R28+R31+R34+R37+R40+R43+R46+R49+R52+R55+R58</f>
        <v>0</v>
      </c>
      <c r="S19" s="182">
        <f>S22+S25+S28+S31+S34+S37+S40+S43+S46+S49+S52+S55+S58</f>
        <v>0</v>
      </c>
      <c r="T19" s="182">
        <f>T22+T25+T28+T31+T34+T37+T40+T43+T46+T49+T52+T55+T58</f>
        <v>0</v>
      </c>
      <c r="U19" s="182">
        <f>U22+U25+U28+U31+U34+U37+U40+U43+U46+U49+U52+U55+U58</f>
        <v>0</v>
      </c>
      <c r="V19" s="182">
        <f>V22+V25+V28+V31+V34+V37+V40+V43+V46+V49+V52+V55+V58</f>
        <v>0</v>
      </c>
      <c r="W19" s="182">
        <f>W22+W25+W28+W31+W34+W37+W40+W43+W46+W49+W52+W55+W58</f>
        <v>0</v>
      </c>
      <c r="X19" s="182">
        <f>SUM(L19:W19)</f>
        <v>10363874</v>
      </c>
      <c r="Y19" s="197"/>
    </row>
    <row r="20" spans="1:25" s="179" customFormat="1" ht="54.75" customHeight="1">
      <c r="A20" s="188"/>
      <c r="B20" s="189"/>
      <c r="C20" s="202" t="s">
        <v>180</v>
      </c>
      <c r="D20" s="203" t="s">
        <v>181</v>
      </c>
      <c r="E20" s="160" t="s">
        <v>108</v>
      </c>
      <c r="F20" s="160">
        <v>2011</v>
      </c>
      <c r="G20" s="160">
        <v>2012</v>
      </c>
      <c r="H20" s="174">
        <f>SUM(J20:W20)-K20</f>
        <v>985374</v>
      </c>
      <c r="I20" s="175">
        <f>K20/J20*100</f>
        <v>1.885144239287642</v>
      </c>
      <c r="J20" s="191">
        <v>485374</v>
      </c>
      <c r="K20" s="192">
        <f>K21+K22</f>
        <v>9150</v>
      </c>
      <c r="L20" s="191">
        <f>L21+L22</f>
        <v>500000</v>
      </c>
      <c r="M20" s="191">
        <f>M21+M22</f>
        <v>0</v>
      </c>
      <c r="N20" s="191">
        <f>N21+N22</f>
        <v>0</v>
      </c>
      <c r="O20" s="191">
        <f>O21+O22</f>
        <v>0</v>
      </c>
      <c r="P20" s="191">
        <f>P21+P22</f>
        <v>0</v>
      </c>
      <c r="Q20" s="191">
        <f>Q21+Q22</f>
        <v>0</v>
      </c>
      <c r="R20" s="191">
        <f>R21+R22</f>
        <v>0</v>
      </c>
      <c r="S20" s="191">
        <f>S21+S22</f>
        <v>0</v>
      </c>
      <c r="T20" s="191">
        <f>T21+T22</f>
        <v>0</v>
      </c>
      <c r="U20" s="191">
        <f>U21+U22</f>
        <v>0</v>
      </c>
      <c r="V20" s="191">
        <f>V21+V22</f>
        <v>0</v>
      </c>
      <c r="W20" s="191">
        <f>W21+W22</f>
        <v>0</v>
      </c>
      <c r="X20" s="191">
        <f>X21+X22</f>
        <v>500000</v>
      </c>
      <c r="Y20" s="204"/>
    </row>
    <row r="21" spans="1:25" s="198" customFormat="1" ht="27">
      <c r="A21" s="188"/>
      <c r="B21" s="189"/>
      <c r="C21" s="205"/>
      <c r="D21" s="201" t="s">
        <v>150</v>
      </c>
      <c r="E21" s="194" t="s">
        <v>108</v>
      </c>
      <c r="F21" s="194" t="s">
        <v>108</v>
      </c>
      <c r="G21" s="194" t="s">
        <v>108</v>
      </c>
      <c r="H21" s="182"/>
      <c r="I21" s="195"/>
      <c r="J21" s="182"/>
      <c r="K21" s="196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>
        <f>SUM(L21:W21)</f>
        <v>0</v>
      </c>
      <c r="Y21" s="197"/>
    </row>
    <row r="22" spans="1:25" s="198" customFormat="1" ht="30.75" customHeight="1">
      <c r="A22" s="188"/>
      <c r="B22" s="189"/>
      <c r="C22" s="205"/>
      <c r="D22" s="180" t="s">
        <v>159</v>
      </c>
      <c r="E22" s="194" t="s">
        <v>108</v>
      </c>
      <c r="F22" s="194" t="s">
        <v>108</v>
      </c>
      <c r="G22" s="194" t="s">
        <v>108</v>
      </c>
      <c r="H22" s="182">
        <f>SUM(J22:W22)-K22</f>
        <v>985000</v>
      </c>
      <c r="I22" s="195">
        <f>K22/J22*100</f>
        <v>1.8865979381443299</v>
      </c>
      <c r="J22" s="182">
        <f>465000+20000</f>
        <v>485000</v>
      </c>
      <c r="K22" s="196">
        <v>9150</v>
      </c>
      <c r="L22" s="182">
        <v>500000</v>
      </c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>
        <f>SUM(L22:W22)</f>
        <v>500000</v>
      </c>
      <c r="Y22" s="197"/>
    </row>
    <row r="23" spans="1:25" s="179" customFormat="1" ht="30.75" customHeight="1">
      <c r="A23" s="188"/>
      <c r="B23" s="189"/>
      <c r="C23" s="202" t="s">
        <v>182</v>
      </c>
      <c r="D23" s="190" t="s">
        <v>183</v>
      </c>
      <c r="E23" s="160" t="s">
        <v>108</v>
      </c>
      <c r="F23" s="160">
        <v>2011</v>
      </c>
      <c r="G23" s="160">
        <v>2013</v>
      </c>
      <c r="H23" s="174">
        <f>SUM(J23:W23)-K23+50000</f>
        <v>1167666</v>
      </c>
      <c r="I23" s="195"/>
      <c r="J23" s="191">
        <f>J24+J25</f>
        <v>0</v>
      </c>
      <c r="K23" s="192">
        <f>K24+K25</f>
        <v>0</v>
      </c>
      <c r="L23" s="191">
        <f>L24+L25</f>
        <v>0</v>
      </c>
      <c r="M23" s="191">
        <f>M24+M25</f>
        <v>1117666</v>
      </c>
      <c r="N23" s="191">
        <f>N24+N25</f>
        <v>0</v>
      </c>
      <c r="O23" s="191">
        <f>O24+O25</f>
        <v>0</v>
      </c>
      <c r="P23" s="191">
        <f>P24+P25</f>
        <v>0</v>
      </c>
      <c r="Q23" s="191">
        <f>Q24+Q25</f>
        <v>0</v>
      </c>
      <c r="R23" s="191">
        <f>R24+R25</f>
        <v>0</v>
      </c>
      <c r="S23" s="191">
        <f>S24+S25</f>
        <v>0</v>
      </c>
      <c r="T23" s="191">
        <f>T24+T25</f>
        <v>0</v>
      </c>
      <c r="U23" s="191">
        <f>U24+U25</f>
        <v>0</v>
      </c>
      <c r="V23" s="191">
        <f>V24+V25</f>
        <v>0</v>
      </c>
      <c r="W23" s="191">
        <f>W24+W25</f>
        <v>0</v>
      </c>
      <c r="X23" s="191">
        <f>X24+X25</f>
        <v>1117666</v>
      </c>
      <c r="Y23" s="204"/>
    </row>
    <row r="24" spans="1:25" s="198" customFormat="1" ht="27">
      <c r="A24" s="188"/>
      <c r="B24" s="189"/>
      <c r="C24" s="205"/>
      <c r="D24" s="201" t="s">
        <v>150</v>
      </c>
      <c r="E24" s="194" t="s">
        <v>108</v>
      </c>
      <c r="F24" s="194" t="s">
        <v>108</v>
      </c>
      <c r="G24" s="194" t="s">
        <v>108</v>
      </c>
      <c r="H24" s="182"/>
      <c r="I24" s="195"/>
      <c r="J24" s="182"/>
      <c r="K24" s="196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>
        <f>SUM(L24:W24)</f>
        <v>0</v>
      </c>
      <c r="Y24" s="197"/>
    </row>
    <row r="25" spans="1:25" s="198" customFormat="1" ht="27">
      <c r="A25" s="188"/>
      <c r="B25" s="189"/>
      <c r="C25" s="205"/>
      <c r="D25" s="180" t="s">
        <v>159</v>
      </c>
      <c r="E25" s="194" t="s">
        <v>108</v>
      </c>
      <c r="F25" s="194" t="s">
        <v>108</v>
      </c>
      <c r="G25" s="194" t="s">
        <v>108</v>
      </c>
      <c r="H25" s="182">
        <f>SUM(J25:W25)-K25+50000</f>
        <v>1167666</v>
      </c>
      <c r="I25" s="195"/>
      <c r="J25" s="182"/>
      <c r="K25" s="196"/>
      <c r="L25" s="182"/>
      <c r="M25" s="182">
        <v>1117666</v>
      </c>
      <c r="N25" s="182"/>
      <c r="O25" s="206"/>
      <c r="P25" s="182"/>
      <c r="Q25" s="182"/>
      <c r="R25" s="182"/>
      <c r="S25" s="182"/>
      <c r="T25" s="182"/>
      <c r="U25" s="182"/>
      <c r="V25" s="182"/>
      <c r="W25" s="182"/>
      <c r="X25" s="182">
        <f>SUM(L25:W25)</f>
        <v>1117666</v>
      </c>
      <c r="Y25" s="197"/>
    </row>
    <row r="26" spans="1:25" s="179" customFormat="1" ht="60.75" customHeight="1">
      <c r="A26" s="188"/>
      <c r="B26" s="189"/>
      <c r="C26" s="202" t="s">
        <v>184</v>
      </c>
      <c r="D26" s="190" t="s">
        <v>185</v>
      </c>
      <c r="E26" s="160" t="s">
        <v>108</v>
      </c>
      <c r="F26" s="160" t="s">
        <v>108</v>
      </c>
      <c r="G26" s="160" t="s">
        <v>108</v>
      </c>
      <c r="H26" s="174">
        <f>SUM(J26:W26)-K26</f>
        <v>2085000</v>
      </c>
      <c r="I26" s="195">
        <f>K26/J26*100</f>
        <v>0</v>
      </c>
      <c r="J26" s="191">
        <f>J27+J28</f>
        <v>50000</v>
      </c>
      <c r="K26" s="192">
        <f>K27+K28</f>
        <v>0</v>
      </c>
      <c r="L26" s="191">
        <f>L27+L28</f>
        <v>100000</v>
      </c>
      <c r="M26" s="191">
        <f>M27+M28</f>
        <v>1935000</v>
      </c>
      <c r="N26" s="191">
        <f>N27+N28</f>
        <v>0</v>
      </c>
      <c r="O26" s="191">
        <f>O27+O28</f>
        <v>0</v>
      </c>
      <c r="P26" s="191">
        <f>P27+P28</f>
        <v>0</v>
      </c>
      <c r="Q26" s="191">
        <f>Q27+Q28</f>
        <v>0</v>
      </c>
      <c r="R26" s="191">
        <f>R27+R28</f>
        <v>0</v>
      </c>
      <c r="S26" s="191">
        <f>S27+S28</f>
        <v>0</v>
      </c>
      <c r="T26" s="191">
        <f>T27+T28</f>
        <v>0</v>
      </c>
      <c r="U26" s="191">
        <f>U27+U28</f>
        <v>0</v>
      </c>
      <c r="V26" s="191">
        <f>V27+V28</f>
        <v>0</v>
      </c>
      <c r="W26" s="191">
        <f>W27+W28</f>
        <v>0</v>
      </c>
      <c r="X26" s="191">
        <f>X27+X28</f>
        <v>2035000</v>
      </c>
      <c r="Y26" s="204"/>
    </row>
    <row r="27" spans="1:25" s="198" customFormat="1" ht="27">
      <c r="A27" s="188"/>
      <c r="B27" s="189"/>
      <c r="C27" s="205"/>
      <c r="D27" s="201" t="s">
        <v>150</v>
      </c>
      <c r="E27" s="194" t="s">
        <v>108</v>
      </c>
      <c r="F27" s="194" t="s">
        <v>108</v>
      </c>
      <c r="G27" s="194" t="s">
        <v>108</v>
      </c>
      <c r="H27" s="182"/>
      <c r="I27" s="195"/>
      <c r="J27" s="182"/>
      <c r="K27" s="196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>
        <f>SUM(L27:W27)</f>
        <v>0</v>
      </c>
      <c r="Y27" s="197"/>
    </row>
    <row r="28" spans="1:25" s="198" customFormat="1" ht="30.75" customHeight="1">
      <c r="A28" s="188"/>
      <c r="B28" s="189"/>
      <c r="C28" s="205"/>
      <c r="D28" s="180" t="s">
        <v>159</v>
      </c>
      <c r="E28" s="194" t="s">
        <v>108</v>
      </c>
      <c r="F28" s="194">
        <v>2011</v>
      </c>
      <c r="G28" s="194">
        <v>2013</v>
      </c>
      <c r="H28" s="182">
        <f>SUM(J28:W28)-K28</f>
        <v>2085000</v>
      </c>
      <c r="I28" s="195">
        <f>K28/J28*100</f>
        <v>0</v>
      </c>
      <c r="J28" s="182">
        <v>50000</v>
      </c>
      <c r="K28" s="196">
        <v>0</v>
      </c>
      <c r="L28" s="182">
        <v>100000</v>
      </c>
      <c r="M28" s="182">
        <v>1935000</v>
      </c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>
        <f>SUM(L28:W28)</f>
        <v>2035000</v>
      </c>
      <c r="Y28" s="197"/>
    </row>
    <row r="29" spans="1:25" s="179" customFormat="1" ht="27">
      <c r="A29" s="188"/>
      <c r="B29" s="189"/>
      <c r="C29" s="202" t="s">
        <v>186</v>
      </c>
      <c r="D29" s="190" t="s">
        <v>187</v>
      </c>
      <c r="E29" s="160" t="s">
        <v>108</v>
      </c>
      <c r="F29" s="160" t="s">
        <v>108</v>
      </c>
      <c r="G29" s="160" t="s">
        <v>108</v>
      </c>
      <c r="H29" s="174">
        <f>SUM(J29:W29)-K29</f>
        <v>500000</v>
      </c>
      <c r="I29" s="195"/>
      <c r="J29" s="191">
        <f>J30+J31</f>
        <v>0</v>
      </c>
      <c r="K29" s="192">
        <f>K30+K31</f>
        <v>0</v>
      </c>
      <c r="L29" s="191">
        <f>L30+L31</f>
        <v>0</v>
      </c>
      <c r="M29" s="191">
        <f>M30+M31</f>
        <v>0</v>
      </c>
      <c r="N29" s="191">
        <f>N30+N31</f>
        <v>0</v>
      </c>
      <c r="O29" s="191">
        <f>O30+O31</f>
        <v>400000</v>
      </c>
      <c r="P29" s="191">
        <f>P30+P31</f>
        <v>100000</v>
      </c>
      <c r="Q29" s="191">
        <f>Q30+Q31</f>
        <v>0</v>
      </c>
      <c r="R29" s="191">
        <f>R30+R31</f>
        <v>0</v>
      </c>
      <c r="S29" s="191">
        <f>S30+S31</f>
        <v>0</v>
      </c>
      <c r="T29" s="191">
        <f>T30+T31</f>
        <v>0</v>
      </c>
      <c r="U29" s="191">
        <f>U30+U31</f>
        <v>0</v>
      </c>
      <c r="V29" s="191">
        <f>V30+V31</f>
        <v>0</v>
      </c>
      <c r="W29" s="191">
        <f>W30+W31</f>
        <v>0</v>
      </c>
      <c r="X29" s="191">
        <f>X30+X31</f>
        <v>500000</v>
      </c>
      <c r="Y29" s="204"/>
    </row>
    <row r="30" spans="1:25" s="198" customFormat="1" ht="27">
      <c r="A30" s="188"/>
      <c r="B30" s="189"/>
      <c r="C30" s="205"/>
      <c r="D30" s="201" t="s">
        <v>150</v>
      </c>
      <c r="E30" s="194" t="s">
        <v>108</v>
      </c>
      <c r="F30" s="194" t="s">
        <v>108</v>
      </c>
      <c r="G30" s="194" t="s">
        <v>108</v>
      </c>
      <c r="H30" s="182">
        <f>SUM(J30:W30)-K30</f>
        <v>0</v>
      </c>
      <c r="I30" s="195"/>
      <c r="J30" s="182"/>
      <c r="K30" s="196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>
        <f>SUM(L30:W30)</f>
        <v>0</v>
      </c>
      <c r="Y30" s="197"/>
    </row>
    <row r="31" spans="1:25" s="198" customFormat="1" ht="27">
      <c r="A31" s="188"/>
      <c r="B31" s="189"/>
      <c r="C31" s="205"/>
      <c r="D31" s="180" t="s">
        <v>159</v>
      </c>
      <c r="E31" s="194" t="s">
        <v>108</v>
      </c>
      <c r="F31" s="194">
        <v>2015</v>
      </c>
      <c r="G31" s="194">
        <v>2016</v>
      </c>
      <c r="H31" s="182">
        <f>SUM(J31:W31)-K31</f>
        <v>500000</v>
      </c>
      <c r="I31" s="195"/>
      <c r="J31" s="182"/>
      <c r="K31" s="196"/>
      <c r="L31" s="182"/>
      <c r="M31" s="207"/>
      <c r="N31" s="182"/>
      <c r="O31" s="182">
        <v>400000</v>
      </c>
      <c r="P31" s="182">
        <v>100000</v>
      </c>
      <c r="Q31" s="182"/>
      <c r="R31" s="182"/>
      <c r="S31" s="182"/>
      <c r="T31" s="182"/>
      <c r="U31" s="182"/>
      <c r="V31" s="182"/>
      <c r="W31" s="182"/>
      <c r="X31" s="182">
        <f>SUM(L31:W31)</f>
        <v>500000</v>
      </c>
      <c r="Y31" s="197"/>
    </row>
    <row r="32" spans="1:25" s="179" customFormat="1" ht="78.75" customHeight="1">
      <c r="A32" s="188"/>
      <c r="B32" s="189"/>
      <c r="C32" s="202" t="s">
        <v>188</v>
      </c>
      <c r="D32" s="190" t="s">
        <v>189</v>
      </c>
      <c r="E32" s="160" t="s">
        <v>108</v>
      </c>
      <c r="F32" s="160">
        <v>2015</v>
      </c>
      <c r="G32" s="160">
        <v>2016</v>
      </c>
      <c r="H32" s="174">
        <f>SUM(J32:W32)-K32</f>
        <v>800000</v>
      </c>
      <c r="I32" s="195"/>
      <c r="J32" s="191">
        <f>J33+J34</f>
        <v>0</v>
      </c>
      <c r="K32" s="192">
        <f>K33+K34</f>
        <v>0</v>
      </c>
      <c r="L32" s="191">
        <f>L33+L34</f>
        <v>0</v>
      </c>
      <c r="M32" s="191">
        <f>M33+M34</f>
        <v>0</v>
      </c>
      <c r="N32" s="191">
        <f>N33+N34</f>
        <v>0</v>
      </c>
      <c r="O32" s="191">
        <f>O33+O34</f>
        <v>400000</v>
      </c>
      <c r="P32" s="191">
        <f>P33+P34</f>
        <v>400000</v>
      </c>
      <c r="Q32" s="191">
        <f>Q33+Q34</f>
        <v>0</v>
      </c>
      <c r="R32" s="191">
        <f>R33+R34</f>
        <v>0</v>
      </c>
      <c r="S32" s="191">
        <f>S33+S34</f>
        <v>0</v>
      </c>
      <c r="T32" s="191">
        <f>T33+T34</f>
        <v>0</v>
      </c>
      <c r="U32" s="191">
        <f>U33+U34</f>
        <v>0</v>
      </c>
      <c r="V32" s="191">
        <f>V33+V34</f>
        <v>0</v>
      </c>
      <c r="W32" s="191">
        <f>W33+W34</f>
        <v>0</v>
      </c>
      <c r="X32" s="191">
        <f>X33+X34</f>
        <v>800000</v>
      </c>
      <c r="Y32" s="204"/>
    </row>
    <row r="33" spans="1:25" s="198" customFormat="1" ht="27">
      <c r="A33" s="188"/>
      <c r="B33" s="189"/>
      <c r="C33" s="205"/>
      <c r="D33" s="201" t="s">
        <v>150</v>
      </c>
      <c r="E33" s="194" t="s">
        <v>108</v>
      </c>
      <c r="F33" s="194" t="s">
        <v>108</v>
      </c>
      <c r="G33" s="194" t="s">
        <v>108</v>
      </c>
      <c r="H33" s="182">
        <f>SUM(J33:W33)-K33</f>
        <v>0</v>
      </c>
      <c r="I33" s="195"/>
      <c r="J33" s="182"/>
      <c r="K33" s="196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>
        <f>SUM(L33:W33)</f>
        <v>0</v>
      </c>
      <c r="Y33" s="197"/>
    </row>
    <row r="34" spans="1:25" s="198" customFormat="1" ht="27">
      <c r="A34" s="188"/>
      <c r="B34" s="189"/>
      <c r="C34" s="205"/>
      <c r="D34" s="180" t="s">
        <v>159</v>
      </c>
      <c r="E34" s="194" t="s">
        <v>108</v>
      </c>
      <c r="F34" s="194" t="s">
        <v>108</v>
      </c>
      <c r="G34" s="194" t="s">
        <v>108</v>
      </c>
      <c r="H34" s="182">
        <f>SUM(J34:W34)-K34</f>
        <v>800000</v>
      </c>
      <c r="I34" s="195"/>
      <c r="J34" s="182"/>
      <c r="K34" s="196"/>
      <c r="L34" s="207"/>
      <c r="M34" s="207"/>
      <c r="N34" s="207"/>
      <c r="O34" s="182">
        <v>400000</v>
      </c>
      <c r="P34" s="182">
        <v>400000</v>
      </c>
      <c r="Q34" s="182"/>
      <c r="R34" s="182"/>
      <c r="S34" s="182"/>
      <c r="T34" s="182"/>
      <c r="U34" s="182"/>
      <c r="V34" s="182"/>
      <c r="W34" s="182"/>
      <c r="X34" s="182">
        <f>SUM(L34:W34)</f>
        <v>800000</v>
      </c>
      <c r="Y34" s="197"/>
    </row>
    <row r="35" spans="1:25" s="179" customFormat="1" ht="60.75" customHeight="1">
      <c r="A35" s="188"/>
      <c r="B35" s="189"/>
      <c r="C35" s="202" t="s">
        <v>190</v>
      </c>
      <c r="D35" s="190" t="s">
        <v>191</v>
      </c>
      <c r="E35" s="160" t="s">
        <v>108</v>
      </c>
      <c r="F35" s="160" t="s">
        <v>108</v>
      </c>
      <c r="G35" s="160" t="s">
        <v>108</v>
      </c>
      <c r="H35" s="174">
        <f>SUM(J35:W35)-K35</f>
        <v>900000</v>
      </c>
      <c r="I35" s="195"/>
      <c r="J35" s="191">
        <f>J36+J37</f>
        <v>0</v>
      </c>
      <c r="K35" s="192">
        <f>K36+K37</f>
        <v>0</v>
      </c>
      <c r="L35" s="191">
        <f>L36+L37</f>
        <v>0</v>
      </c>
      <c r="M35" s="191">
        <f>M36+M37</f>
        <v>0</v>
      </c>
      <c r="N35" s="191">
        <f>N36+N37</f>
        <v>450000</v>
      </c>
      <c r="O35" s="191">
        <f>O36+O37</f>
        <v>450000</v>
      </c>
      <c r="P35" s="191">
        <f>P36+P37</f>
        <v>0</v>
      </c>
      <c r="Q35" s="191">
        <f>Q36+Q37</f>
        <v>0</v>
      </c>
      <c r="R35" s="191">
        <f>R36+R37</f>
        <v>0</v>
      </c>
      <c r="S35" s="191">
        <f>S36+S37</f>
        <v>0</v>
      </c>
      <c r="T35" s="191">
        <f>T36+T37</f>
        <v>0</v>
      </c>
      <c r="U35" s="191">
        <f>U36+U37</f>
        <v>0</v>
      </c>
      <c r="V35" s="191">
        <f>V36+V37</f>
        <v>0</v>
      </c>
      <c r="W35" s="191">
        <f>W36+W37</f>
        <v>0</v>
      </c>
      <c r="X35" s="191">
        <f>X36+X37</f>
        <v>900000</v>
      </c>
      <c r="Y35" s="204"/>
    </row>
    <row r="36" spans="1:25" s="198" customFormat="1" ht="30.75" customHeight="1">
      <c r="A36" s="188"/>
      <c r="B36" s="189"/>
      <c r="C36" s="205"/>
      <c r="D36" s="201" t="s">
        <v>150</v>
      </c>
      <c r="E36" s="194" t="s">
        <v>108</v>
      </c>
      <c r="F36" s="194" t="s">
        <v>108</v>
      </c>
      <c r="G36" s="194" t="s">
        <v>108</v>
      </c>
      <c r="H36" s="182">
        <f>SUM(J36:W36)-K36</f>
        <v>0</v>
      </c>
      <c r="I36" s="195"/>
      <c r="J36" s="182"/>
      <c r="K36" s="196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>
        <f>SUM(L36:W36)</f>
        <v>0</v>
      </c>
      <c r="Y36" s="197"/>
    </row>
    <row r="37" spans="1:25" s="198" customFormat="1" ht="30.75" customHeight="1">
      <c r="A37" s="188"/>
      <c r="B37" s="189"/>
      <c r="C37" s="205"/>
      <c r="D37" s="180" t="s">
        <v>159</v>
      </c>
      <c r="E37" s="194" t="s">
        <v>108</v>
      </c>
      <c r="F37" s="194">
        <v>2013</v>
      </c>
      <c r="G37" s="194">
        <v>2014</v>
      </c>
      <c r="H37" s="182">
        <f>SUM(J37:W37)-K37</f>
        <v>900000</v>
      </c>
      <c r="I37" s="195"/>
      <c r="J37" s="182"/>
      <c r="K37" s="196"/>
      <c r="L37" s="182"/>
      <c r="M37" s="207"/>
      <c r="N37" s="182">
        <v>450000</v>
      </c>
      <c r="O37" s="182">
        <v>450000</v>
      </c>
      <c r="P37" s="206"/>
      <c r="Q37" s="182"/>
      <c r="R37" s="182"/>
      <c r="S37" s="182"/>
      <c r="T37" s="182"/>
      <c r="U37" s="182"/>
      <c r="V37" s="182"/>
      <c r="W37" s="182"/>
      <c r="X37" s="182">
        <f>SUM(L37:W37)</f>
        <v>900000</v>
      </c>
      <c r="Y37" s="197"/>
    </row>
    <row r="38" spans="1:25" s="179" customFormat="1" ht="30.75" customHeight="1">
      <c r="A38" s="188"/>
      <c r="B38" s="189"/>
      <c r="C38" s="202" t="s">
        <v>192</v>
      </c>
      <c r="D38" s="190" t="s">
        <v>193</v>
      </c>
      <c r="E38" s="160" t="s">
        <v>108</v>
      </c>
      <c r="F38" s="160" t="s">
        <v>108</v>
      </c>
      <c r="G38" s="160" t="s">
        <v>108</v>
      </c>
      <c r="H38" s="174">
        <f>SUM(J38:W38)-K38</f>
        <v>360000</v>
      </c>
      <c r="I38" s="195"/>
      <c r="J38" s="191">
        <f>J39+J40</f>
        <v>0</v>
      </c>
      <c r="K38" s="192">
        <f>K39+K40</f>
        <v>0</v>
      </c>
      <c r="L38" s="191">
        <f>L39+L40</f>
        <v>0</v>
      </c>
      <c r="M38" s="191">
        <f>M39+M40</f>
        <v>0</v>
      </c>
      <c r="N38" s="191">
        <f>N39+N40</f>
        <v>300000</v>
      </c>
      <c r="O38" s="191">
        <f>O39+O40</f>
        <v>60000</v>
      </c>
      <c r="P38" s="191">
        <f>P39+P40</f>
        <v>0</v>
      </c>
      <c r="Q38" s="191">
        <f>Q39+Q40</f>
        <v>0</v>
      </c>
      <c r="R38" s="191">
        <f>R39+R40</f>
        <v>0</v>
      </c>
      <c r="S38" s="191">
        <f>S39+S40</f>
        <v>0</v>
      </c>
      <c r="T38" s="191">
        <f>T39+T40</f>
        <v>0</v>
      </c>
      <c r="U38" s="191">
        <f>U39+U40</f>
        <v>0</v>
      </c>
      <c r="V38" s="191">
        <f>V39+V40</f>
        <v>0</v>
      </c>
      <c r="W38" s="191">
        <f>W39+W40</f>
        <v>0</v>
      </c>
      <c r="X38" s="191">
        <f>X39+X40</f>
        <v>360000</v>
      </c>
      <c r="Y38" s="204"/>
    </row>
    <row r="39" spans="1:25" s="198" customFormat="1" ht="30.75" customHeight="1">
      <c r="A39" s="188"/>
      <c r="B39" s="189"/>
      <c r="C39" s="205"/>
      <c r="D39" s="201" t="s">
        <v>150</v>
      </c>
      <c r="E39" s="194" t="s">
        <v>108</v>
      </c>
      <c r="F39" s="194" t="s">
        <v>108</v>
      </c>
      <c r="G39" s="194" t="s">
        <v>108</v>
      </c>
      <c r="H39" s="182">
        <f>SUM(J39:W39)-K39</f>
        <v>0</v>
      </c>
      <c r="I39" s="195"/>
      <c r="J39" s="182"/>
      <c r="K39" s="196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>
        <f>SUM(L39:W39)</f>
        <v>0</v>
      </c>
      <c r="Y39" s="197"/>
    </row>
    <row r="40" spans="1:25" s="198" customFormat="1" ht="30.75" customHeight="1">
      <c r="A40" s="188"/>
      <c r="B40" s="189"/>
      <c r="C40" s="205"/>
      <c r="D40" s="180" t="s">
        <v>159</v>
      </c>
      <c r="E40" s="194" t="s">
        <v>108</v>
      </c>
      <c r="F40" s="194">
        <v>2013</v>
      </c>
      <c r="G40" s="194">
        <v>2014</v>
      </c>
      <c r="H40" s="182">
        <f>SUM(J40:W40)-K40</f>
        <v>360000</v>
      </c>
      <c r="I40" s="195"/>
      <c r="J40" s="182"/>
      <c r="K40" s="196"/>
      <c r="L40" s="182"/>
      <c r="M40" s="207"/>
      <c r="N40" s="182">
        <v>300000</v>
      </c>
      <c r="O40" s="182">
        <v>60000</v>
      </c>
      <c r="P40" s="206"/>
      <c r="Q40" s="182"/>
      <c r="R40" s="182"/>
      <c r="S40" s="182"/>
      <c r="T40" s="182"/>
      <c r="U40" s="182"/>
      <c r="V40" s="182"/>
      <c r="W40" s="182"/>
      <c r="X40" s="182">
        <f>SUM(L40:W40)</f>
        <v>360000</v>
      </c>
      <c r="Y40" s="197"/>
    </row>
    <row r="41" spans="1:25" s="179" customFormat="1" ht="48.75">
      <c r="A41" s="188"/>
      <c r="B41" s="189"/>
      <c r="C41" s="202" t="s">
        <v>194</v>
      </c>
      <c r="D41" s="203" t="s">
        <v>195</v>
      </c>
      <c r="E41" s="160" t="s">
        <v>108</v>
      </c>
      <c r="F41" s="160">
        <v>2010</v>
      </c>
      <c r="G41" s="160">
        <v>2014</v>
      </c>
      <c r="H41" s="174">
        <f>SUM(H42:H43)</f>
        <v>3298042</v>
      </c>
      <c r="I41" s="195">
        <f>K41/J41*100</f>
        <v>0</v>
      </c>
      <c r="J41" s="191">
        <f>J42+J43</f>
        <v>55000</v>
      </c>
      <c r="K41" s="192">
        <f>K42+K43</f>
        <v>0</v>
      </c>
      <c r="L41" s="191">
        <f>L42+L43</f>
        <v>32300</v>
      </c>
      <c r="M41" s="191">
        <f>M42+M43</f>
        <v>1673264</v>
      </c>
      <c r="N41" s="191">
        <f>N42+N43</f>
        <v>1424644</v>
      </c>
      <c r="O41" s="191">
        <f>O42+O43</f>
        <v>0</v>
      </c>
      <c r="P41" s="191">
        <f>P42+P43</f>
        <v>0</v>
      </c>
      <c r="Q41" s="191">
        <f>Q42+Q43</f>
        <v>0</v>
      </c>
      <c r="R41" s="191">
        <f>R42+R43</f>
        <v>0</v>
      </c>
      <c r="S41" s="191">
        <f>S42+S43</f>
        <v>0</v>
      </c>
      <c r="T41" s="191">
        <f>T42+T43</f>
        <v>0</v>
      </c>
      <c r="U41" s="191">
        <f>U42+U43</f>
        <v>0</v>
      </c>
      <c r="V41" s="191">
        <f>V42+V43</f>
        <v>0</v>
      </c>
      <c r="W41" s="191">
        <f>W42+W43</f>
        <v>0</v>
      </c>
      <c r="X41" s="191">
        <f>X42+X43</f>
        <v>3130208</v>
      </c>
      <c r="Y41" s="204"/>
    </row>
    <row r="42" spans="1:25" s="198" customFormat="1" ht="27">
      <c r="A42" s="188"/>
      <c r="B42" s="189"/>
      <c r="C42" s="205"/>
      <c r="D42" s="201" t="s">
        <v>150</v>
      </c>
      <c r="E42" s="194" t="s">
        <v>108</v>
      </c>
      <c r="F42" s="194" t="s">
        <v>108</v>
      </c>
      <c r="G42" s="194" t="s">
        <v>108</v>
      </c>
      <c r="H42" s="182">
        <f>SUM(J42:W42)-K42</f>
        <v>0</v>
      </c>
      <c r="I42" s="195"/>
      <c r="J42" s="182"/>
      <c r="K42" s="196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>
        <f>SUM(L42:W42)</f>
        <v>0</v>
      </c>
      <c r="Y42" s="197"/>
    </row>
    <row r="43" spans="1:25" s="198" customFormat="1" ht="50.25">
      <c r="A43" s="188"/>
      <c r="B43" s="189"/>
      <c r="C43" s="205"/>
      <c r="D43" s="180" t="s">
        <v>159</v>
      </c>
      <c r="E43" s="194" t="s">
        <v>108</v>
      </c>
      <c r="F43" s="194" t="s">
        <v>108</v>
      </c>
      <c r="G43" s="194" t="s">
        <v>108</v>
      </c>
      <c r="H43" s="182">
        <f>SUM(J43:W43)-K43+50000+62834</f>
        <v>3298042</v>
      </c>
      <c r="I43" s="195">
        <f>K43/J43*100</f>
        <v>0</v>
      </c>
      <c r="J43" s="182">
        <v>55000</v>
      </c>
      <c r="K43" s="196">
        <v>0</v>
      </c>
      <c r="L43" s="182">
        <v>32300</v>
      </c>
      <c r="M43" s="182">
        <v>1673264</v>
      </c>
      <c r="N43" s="182">
        <v>1424644</v>
      </c>
      <c r="O43" s="182"/>
      <c r="P43" s="182"/>
      <c r="Q43" s="182"/>
      <c r="R43" s="182"/>
      <c r="S43" s="182"/>
      <c r="T43" s="182"/>
      <c r="U43" s="182"/>
      <c r="V43" s="182"/>
      <c r="W43" s="182"/>
      <c r="X43" s="182">
        <f>SUM(L43:W43)</f>
        <v>3130208</v>
      </c>
      <c r="Y43" s="197"/>
    </row>
    <row r="44" spans="1:25" s="198" customFormat="1" ht="77.25">
      <c r="A44" s="188"/>
      <c r="B44" s="189"/>
      <c r="C44" s="202" t="s">
        <v>196</v>
      </c>
      <c r="D44" s="208" t="s">
        <v>197</v>
      </c>
      <c r="E44" s="160" t="s">
        <v>108</v>
      </c>
      <c r="F44" s="160">
        <v>2012</v>
      </c>
      <c r="G44" s="160">
        <v>2014</v>
      </c>
      <c r="H44" s="174">
        <f>SUM(H45:H46)</f>
        <v>100000</v>
      </c>
      <c r="I44" s="195" t="e">
        <f>K44/J44*100</f>
        <v>#DIV/0!</v>
      </c>
      <c r="J44" s="191">
        <f>J45+J46</f>
        <v>0</v>
      </c>
      <c r="K44" s="192">
        <f>K45+K46</f>
        <v>0</v>
      </c>
      <c r="L44" s="191">
        <f>L45+L46</f>
        <v>10000</v>
      </c>
      <c r="M44" s="191">
        <f>M45+M46</f>
        <v>45000</v>
      </c>
      <c r="N44" s="191">
        <f>N45+N46</f>
        <v>45000</v>
      </c>
      <c r="O44" s="191">
        <f>O45+O46</f>
        <v>0</v>
      </c>
      <c r="P44" s="191">
        <f>P45+P46</f>
        <v>0</v>
      </c>
      <c r="Q44" s="191">
        <f>Q45+Q46</f>
        <v>0</v>
      </c>
      <c r="R44" s="191">
        <f>R45+R46</f>
        <v>0</v>
      </c>
      <c r="S44" s="191">
        <f>S45+S46</f>
        <v>0</v>
      </c>
      <c r="T44" s="191">
        <f>T45+T46</f>
        <v>0</v>
      </c>
      <c r="U44" s="191">
        <f>U45+U46</f>
        <v>0</v>
      </c>
      <c r="V44" s="191">
        <f>V45+V46</f>
        <v>0</v>
      </c>
      <c r="W44" s="191">
        <f>W45+W46</f>
        <v>0</v>
      </c>
      <c r="X44" s="191">
        <f>X45+X46</f>
        <v>100000</v>
      </c>
      <c r="Y44" s="197"/>
    </row>
    <row r="45" spans="1:25" s="198" customFormat="1" ht="27">
      <c r="A45" s="188"/>
      <c r="B45" s="189"/>
      <c r="C45" s="205"/>
      <c r="D45" s="201" t="s">
        <v>150</v>
      </c>
      <c r="E45" s="194" t="s">
        <v>108</v>
      </c>
      <c r="F45" s="194" t="s">
        <v>108</v>
      </c>
      <c r="G45" s="194" t="s">
        <v>108</v>
      </c>
      <c r="H45" s="182">
        <f>SUM(J45:W45)-K45</f>
        <v>0</v>
      </c>
      <c r="I45" s="195"/>
      <c r="J45" s="182"/>
      <c r="K45" s="196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>
        <f>SUM(L45:W45)</f>
        <v>0</v>
      </c>
      <c r="Y45" s="197"/>
    </row>
    <row r="46" spans="1:25" s="198" customFormat="1" ht="38.25" customHeight="1">
      <c r="A46" s="188"/>
      <c r="B46" s="189"/>
      <c r="C46" s="205"/>
      <c r="D46" s="180" t="s">
        <v>159</v>
      </c>
      <c r="E46" s="194" t="s">
        <v>108</v>
      </c>
      <c r="F46" s="194" t="s">
        <v>108</v>
      </c>
      <c r="G46" s="194" t="s">
        <v>108</v>
      </c>
      <c r="H46" s="182">
        <f>SUM(J46:W46)</f>
        <v>100000</v>
      </c>
      <c r="I46" s="195" t="e">
        <f>K46/J46*100</f>
        <v>#DIV/0!</v>
      </c>
      <c r="J46" s="182">
        <v>0</v>
      </c>
      <c r="K46" s="196">
        <v>0</v>
      </c>
      <c r="L46" s="182">
        <v>10000</v>
      </c>
      <c r="M46" s="182">
        <v>45000</v>
      </c>
      <c r="N46" s="182">
        <v>45000</v>
      </c>
      <c r="O46" s="182"/>
      <c r="P46" s="182"/>
      <c r="Q46" s="182"/>
      <c r="R46" s="182"/>
      <c r="S46" s="182"/>
      <c r="T46" s="182"/>
      <c r="U46" s="182"/>
      <c r="V46" s="182"/>
      <c r="W46" s="182"/>
      <c r="X46" s="182">
        <f>SUM(L46:W46)</f>
        <v>100000</v>
      </c>
      <c r="Y46" s="197"/>
    </row>
    <row r="47" spans="1:25" s="198" customFormat="1" ht="96.75">
      <c r="A47" s="188"/>
      <c r="B47" s="189"/>
      <c r="C47" s="202" t="s">
        <v>198</v>
      </c>
      <c r="D47" s="203" t="s">
        <v>199</v>
      </c>
      <c r="E47" s="160" t="s">
        <v>108</v>
      </c>
      <c r="F47" s="160">
        <v>2013</v>
      </c>
      <c r="G47" s="160">
        <v>2014</v>
      </c>
      <c r="H47" s="174">
        <f>SUM(H48:H49)</f>
        <v>261000</v>
      </c>
      <c r="I47" s="195" t="e">
        <f>K47/J47*100</f>
        <v>#DIV/0!</v>
      </c>
      <c r="J47" s="191">
        <f>J48+J49</f>
        <v>0</v>
      </c>
      <c r="K47" s="192">
        <f>K48+K49</f>
        <v>0</v>
      </c>
      <c r="L47" s="191">
        <f>L48+L49</f>
        <v>0</v>
      </c>
      <c r="M47" s="191">
        <f>M48+M49</f>
        <v>41000</v>
      </c>
      <c r="N47" s="191">
        <f>N48+N49</f>
        <v>220000</v>
      </c>
      <c r="O47" s="191">
        <f>O48+O49</f>
        <v>0</v>
      </c>
      <c r="P47" s="191">
        <f>P48+P49</f>
        <v>0</v>
      </c>
      <c r="Q47" s="191">
        <f>Q48+Q49</f>
        <v>0</v>
      </c>
      <c r="R47" s="191">
        <f>R48+R49</f>
        <v>0</v>
      </c>
      <c r="S47" s="191">
        <f>S48+S49</f>
        <v>0</v>
      </c>
      <c r="T47" s="191">
        <f>T48+T49</f>
        <v>0</v>
      </c>
      <c r="U47" s="191">
        <f>U48+U49</f>
        <v>0</v>
      </c>
      <c r="V47" s="191">
        <f>V48+V49</f>
        <v>0</v>
      </c>
      <c r="W47" s="191">
        <f>W48+W49</f>
        <v>0</v>
      </c>
      <c r="X47" s="191">
        <f>X48+X49</f>
        <v>261000</v>
      </c>
      <c r="Y47" s="197"/>
    </row>
    <row r="48" spans="1:25" s="198" customFormat="1" ht="38.25" customHeight="1">
      <c r="A48" s="188"/>
      <c r="B48" s="189"/>
      <c r="C48" s="205"/>
      <c r="D48" s="201" t="s">
        <v>150</v>
      </c>
      <c r="E48" s="194" t="s">
        <v>108</v>
      </c>
      <c r="F48" s="194" t="s">
        <v>108</v>
      </c>
      <c r="G48" s="194" t="s">
        <v>108</v>
      </c>
      <c r="H48" s="182">
        <f>SUM(J48:W48)-K48</f>
        <v>0</v>
      </c>
      <c r="I48" s="195"/>
      <c r="J48" s="182"/>
      <c r="K48" s="196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>
        <f>SUM(L48:W48)</f>
        <v>0</v>
      </c>
      <c r="Y48" s="197"/>
    </row>
    <row r="49" spans="1:25" s="198" customFormat="1" ht="38.25" customHeight="1">
      <c r="A49" s="188"/>
      <c r="B49" s="189"/>
      <c r="C49" s="205"/>
      <c r="D49" s="180" t="s">
        <v>159</v>
      </c>
      <c r="E49" s="194" t="s">
        <v>108</v>
      </c>
      <c r="F49" s="194" t="s">
        <v>108</v>
      </c>
      <c r="G49" s="194" t="s">
        <v>108</v>
      </c>
      <c r="H49" s="182">
        <f>SUM(J49:W49)</f>
        <v>261000</v>
      </c>
      <c r="I49" s="195" t="e">
        <f>K49/J49*100</f>
        <v>#DIV/0!</v>
      </c>
      <c r="J49" s="182">
        <v>0</v>
      </c>
      <c r="K49" s="196">
        <v>0</v>
      </c>
      <c r="L49" s="182"/>
      <c r="M49" s="182">
        <v>41000</v>
      </c>
      <c r="N49" s="182">
        <v>220000</v>
      </c>
      <c r="O49" s="182"/>
      <c r="P49" s="182"/>
      <c r="Q49" s="182"/>
      <c r="R49" s="182"/>
      <c r="S49" s="182"/>
      <c r="T49" s="182"/>
      <c r="U49" s="182"/>
      <c r="V49" s="182"/>
      <c r="W49" s="182"/>
      <c r="X49" s="182">
        <f>SUM(L49:W49)</f>
        <v>261000</v>
      </c>
      <c r="Y49" s="197"/>
    </row>
    <row r="50" spans="1:25" s="198" customFormat="1" ht="77.25">
      <c r="A50" s="188"/>
      <c r="B50" s="189"/>
      <c r="C50" s="202" t="s">
        <v>200</v>
      </c>
      <c r="D50" s="203" t="s">
        <v>201</v>
      </c>
      <c r="E50" s="160" t="s">
        <v>108</v>
      </c>
      <c r="F50" s="160">
        <v>2012</v>
      </c>
      <c r="G50" s="160">
        <v>2013</v>
      </c>
      <c r="H50" s="174">
        <f>SUM(H51:H52)</f>
        <v>220000</v>
      </c>
      <c r="I50" s="195" t="e">
        <f>K50/J50*100</f>
        <v>#DIV/0!</v>
      </c>
      <c r="J50" s="191">
        <f>J51+J52</f>
        <v>0</v>
      </c>
      <c r="K50" s="192">
        <f>K51+K52</f>
        <v>0</v>
      </c>
      <c r="L50" s="191">
        <f>L51+L52</f>
        <v>20000</v>
      </c>
      <c r="M50" s="191">
        <f>M51+M52</f>
        <v>200000</v>
      </c>
      <c r="N50" s="191">
        <f>N51+N52</f>
        <v>0</v>
      </c>
      <c r="O50" s="191">
        <f>O51+O52</f>
        <v>0</v>
      </c>
      <c r="P50" s="191">
        <f>P51+P52</f>
        <v>0</v>
      </c>
      <c r="Q50" s="191">
        <f>Q51+Q52</f>
        <v>0</v>
      </c>
      <c r="R50" s="191">
        <f>R51+R52</f>
        <v>0</v>
      </c>
      <c r="S50" s="191">
        <f>S51+S52</f>
        <v>0</v>
      </c>
      <c r="T50" s="191">
        <f>T51+T52</f>
        <v>0</v>
      </c>
      <c r="U50" s="191">
        <f>U51+U52</f>
        <v>0</v>
      </c>
      <c r="V50" s="191">
        <f>V51+V52</f>
        <v>0</v>
      </c>
      <c r="W50" s="191">
        <f>W51+W52</f>
        <v>0</v>
      </c>
      <c r="X50" s="191">
        <f>X51+X52</f>
        <v>220000</v>
      </c>
      <c r="Y50" s="197"/>
    </row>
    <row r="51" spans="1:25" s="198" customFormat="1" ht="38.25" customHeight="1">
      <c r="A51" s="188"/>
      <c r="B51" s="189"/>
      <c r="C51" s="205"/>
      <c r="D51" s="201" t="s">
        <v>150</v>
      </c>
      <c r="E51" s="194" t="s">
        <v>108</v>
      </c>
      <c r="F51" s="194" t="s">
        <v>108</v>
      </c>
      <c r="G51" s="194" t="s">
        <v>108</v>
      </c>
      <c r="H51" s="182">
        <f>SUM(J51:W51)-K51</f>
        <v>0</v>
      </c>
      <c r="I51" s="195"/>
      <c r="J51" s="182"/>
      <c r="K51" s="196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>
        <f>SUM(L51:W51)</f>
        <v>0</v>
      </c>
      <c r="Y51" s="197"/>
    </row>
    <row r="52" spans="1:25" s="198" customFormat="1" ht="38.25" customHeight="1">
      <c r="A52" s="188"/>
      <c r="B52" s="189"/>
      <c r="C52" s="205"/>
      <c r="D52" s="180" t="s">
        <v>159</v>
      </c>
      <c r="E52" s="194" t="s">
        <v>108</v>
      </c>
      <c r="F52" s="194" t="s">
        <v>108</v>
      </c>
      <c r="G52" s="194" t="s">
        <v>108</v>
      </c>
      <c r="H52" s="182">
        <f>SUM(J52:W52)</f>
        <v>220000</v>
      </c>
      <c r="I52" s="195" t="e">
        <f>K52/J52*100</f>
        <v>#DIV/0!</v>
      </c>
      <c r="J52" s="182">
        <v>0</v>
      </c>
      <c r="K52" s="196">
        <v>0</v>
      </c>
      <c r="L52" s="182">
        <v>20000</v>
      </c>
      <c r="M52" s="182">
        <v>200000</v>
      </c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>
        <f>SUM(L52:W52)</f>
        <v>220000</v>
      </c>
      <c r="Y52" s="197"/>
    </row>
    <row r="53" spans="1:25" s="198" customFormat="1" ht="77.25">
      <c r="A53" s="188"/>
      <c r="B53" s="189"/>
      <c r="C53" s="202" t="s">
        <v>202</v>
      </c>
      <c r="D53" s="203" t="s">
        <v>203</v>
      </c>
      <c r="E53" s="160" t="s">
        <v>108</v>
      </c>
      <c r="F53" s="160">
        <v>2012</v>
      </c>
      <c r="G53" s="160">
        <v>2013</v>
      </c>
      <c r="H53" s="174">
        <f>SUM(H54:H55)</f>
        <v>220000</v>
      </c>
      <c r="I53" s="195" t="e">
        <f>K53/J53*100</f>
        <v>#DIV/0!</v>
      </c>
      <c r="J53" s="191">
        <f>J54+J55</f>
        <v>0</v>
      </c>
      <c r="K53" s="192">
        <f>K54+K55</f>
        <v>0</v>
      </c>
      <c r="L53" s="191">
        <f>L54+L55</f>
        <v>20000</v>
      </c>
      <c r="M53" s="191">
        <f>M54+M55</f>
        <v>200000</v>
      </c>
      <c r="N53" s="191">
        <f>N54+N55</f>
        <v>0</v>
      </c>
      <c r="O53" s="191">
        <f>O54+O55</f>
        <v>0</v>
      </c>
      <c r="P53" s="191">
        <f>P54+P55</f>
        <v>0</v>
      </c>
      <c r="Q53" s="191">
        <f>Q54+Q55</f>
        <v>0</v>
      </c>
      <c r="R53" s="191">
        <f>R54+R55</f>
        <v>0</v>
      </c>
      <c r="S53" s="191">
        <f>S54+S55</f>
        <v>0</v>
      </c>
      <c r="T53" s="191">
        <f>T54+T55</f>
        <v>0</v>
      </c>
      <c r="U53" s="191">
        <f>U54+U55</f>
        <v>0</v>
      </c>
      <c r="V53" s="191">
        <f>V54+V55</f>
        <v>0</v>
      </c>
      <c r="W53" s="191">
        <f>W54+W55</f>
        <v>0</v>
      </c>
      <c r="X53" s="191">
        <f>X54+X55</f>
        <v>220000</v>
      </c>
      <c r="Y53" s="197"/>
    </row>
    <row r="54" spans="1:25" s="198" customFormat="1" ht="38.25" customHeight="1">
      <c r="A54" s="188"/>
      <c r="B54" s="189"/>
      <c r="C54" s="205"/>
      <c r="D54" s="201" t="s">
        <v>150</v>
      </c>
      <c r="E54" s="194" t="s">
        <v>108</v>
      </c>
      <c r="F54" s="194" t="s">
        <v>108</v>
      </c>
      <c r="G54" s="194" t="s">
        <v>108</v>
      </c>
      <c r="H54" s="182">
        <f>SUM(J54:W54)-K54</f>
        <v>0</v>
      </c>
      <c r="I54" s="195"/>
      <c r="J54" s="182"/>
      <c r="K54" s="196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>
        <f>SUM(L54:W54)</f>
        <v>0</v>
      </c>
      <c r="Y54" s="197"/>
    </row>
    <row r="55" spans="1:25" s="198" customFormat="1" ht="38.25" customHeight="1">
      <c r="A55" s="188"/>
      <c r="B55" s="189"/>
      <c r="C55" s="205"/>
      <c r="D55" s="180" t="s">
        <v>159</v>
      </c>
      <c r="E55" s="194" t="s">
        <v>108</v>
      </c>
      <c r="F55" s="194" t="s">
        <v>108</v>
      </c>
      <c r="G55" s="194" t="s">
        <v>108</v>
      </c>
      <c r="H55" s="182">
        <f>SUM(J55:W55)</f>
        <v>220000</v>
      </c>
      <c r="I55" s="195" t="e">
        <f>K55/J55*100</f>
        <v>#DIV/0!</v>
      </c>
      <c r="J55" s="182">
        <v>0</v>
      </c>
      <c r="K55" s="196">
        <v>0</v>
      </c>
      <c r="L55" s="182">
        <v>20000</v>
      </c>
      <c r="M55" s="182">
        <v>200000</v>
      </c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>
        <f>SUM(L55:W55)</f>
        <v>220000</v>
      </c>
      <c r="Y55" s="197"/>
    </row>
    <row r="56" spans="1:25" s="198" customFormat="1" ht="77.25">
      <c r="A56" s="188"/>
      <c r="B56" s="189"/>
      <c r="C56" s="202" t="s">
        <v>204</v>
      </c>
      <c r="D56" s="203" t="s">
        <v>205</v>
      </c>
      <c r="E56" s="160" t="s">
        <v>108</v>
      </c>
      <c r="F56" s="160">
        <v>2012</v>
      </c>
      <c r="G56" s="160">
        <v>2013</v>
      </c>
      <c r="H56" s="174">
        <f>SUM(H57:H58)</f>
        <v>220000</v>
      </c>
      <c r="I56" s="195" t="e">
        <f>K56/J56*100</f>
        <v>#DIV/0!</v>
      </c>
      <c r="J56" s="191">
        <f>J57+J58</f>
        <v>0</v>
      </c>
      <c r="K56" s="192">
        <f>K57+K58</f>
        <v>0</v>
      </c>
      <c r="L56" s="191">
        <f>L57+L58</f>
        <v>20000</v>
      </c>
      <c r="M56" s="191">
        <f>M57+M58</f>
        <v>200000</v>
      </c>
      <c r="N56" s="191">
        <f>N57+N58</f>
        <v>0</v>
      </c>
      <c r="O56" s="191">
        <f>O57+O58</f>
        <v>0</v>
      </c>
      <c r="P56" s="191">
        <f>P57+P58</f>
        <v>0</v>
      </c>
      <c r="Q56" s="191">
        <f>Q57+Q58</f>
        <v>0</v>
      </c>
      <c r="R56" s="191">
        <f>R57+R58</f>
        <v>0</v>
      </c>
      <c r="S56" s="191">
        <f>S57+S58</f>
        <v>0</v>
      </c>
      <c r="T56" s="191">
        <f>T57+T58</f>
        <v>0</v>
      </c>
      <c r="U56" s="191">
        <f>U57+U58</f>
        <v>0</v>
      </c>
      <c r="V56" s="191">
        <f>V57+V58</f>
        <v>0</v>
      </c>
      <c r="W56" s="191">
        <f>W57+W58</f>
        <v>0</v>
      </c>
      <c r="X56" s="191">
        <f>X57+X58</f>
        <v>220000</v>
      </c>
      <c r="Y56" s="197"/>
    </row>
    <row r="57" spans="1:25" s="198" customFormat="1" ht="38.25" customHeight="1">
      <c r="A57" s="188"/>
      <c r="B57" s="189"/>
      <c r="C57" s="205"/>
      <c r="D57" s="201" t="s">
        <v>150</v>
      </c>
      <c r="E57" s="194" t="s">
        <v>108</v>
      </c>
      <c r="F57" s="194" t="s">
        <v>108</v>
      </c>
      <c r="G57" s="194" t="s">
        <v>108</v>
      </c>
      <c r="H57" s="182">
        <f>SUM(J57:W57)-K57</f>
        <v>0</v>
      </c>
      <c r="I57" s="195"/>
      <c r="J57" s="182"/>
      <c r="K57" s="196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>
        <f>SUM(L57:W57)</f>
        <v>0</v>
      </c>
      <c r="Y57" s="197"/>
    </row>
    <row r="58" spans="1:25" s="198" customFormat="1" ht="38.25" customHeight="1">
      <c r="A58" s="188"/>
      <c r="B58" s="189"/>
      <c r="C58" s="205"/>
      <c r="D58" s="180" t="s">
        <v>159</v>
      </c>
      <c r="E58" s="194" t="s">
        <v>108</v>
      </c>
      <c r="F58" s="194" t="s">
        <v>108</v>
      </c>
      <c r="G58" s="194" t="s">
        <v>108</v>
      </c>
      <c r="H58" s="182">
        <f>SUM(J58:W58)</f>
        <v>220000</v>
      </c>
      <c r="I58" s="195" t="e">
        <f>K58/J58*100</f>
        <v>#DIV/0!</v>
      </c>
      <c r="J58" s="182">
        <v>0</v>
      </c>
      <c r="K58" s="196">
        <v>0</v>
      </c>
      <c r="L58" s="182">
        <v>20000</v>
      </c>
      <c r="M58" s="182">
        <v>200000</v>
      </c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>
        <f>SUM(L58:W58)</f>
        <v>220000</v>
      </c>
      <c r="Y58" s="197"/>
    </row>
    <row r="59" spans="1:25" s="198" customFormat="1" ht="48.75">
      <c r="A59" s="188"/>
      <c r="B59" s="189"/>
      <c r="C59" s="161" t="s">
        <v>163</v>
      </c>
      <c r="D59" s="190" t="s">
        <v>164</v>
      </c>
      <c r="E59" s="160" t="s">
        <v>162</v>
      </c>
      <c r="F59" s="160" t="s">
        <v>108</v>
      </c>
      <c r="G59" s="160" t="s">
        <v>108</v>
      </c>
      <c r="H59" s="174">
        <f>SUM(J59:W59)-K59</f>
        <v>2292000</v>
      </c>
      <c r="I59" s="195"/>
      <c r="J59" s="191">
        <f>J62+J65+J68+J71</f>
        <v>0</v>
      </c>
      <c r="K59" s="192">
        <f>K62+K65+K68+K71</f>
        <v>0</v>
      </c>
      <c r="L59" s="191">
        <f>L60+L61</f>
        <v>500000</v>
      </c>
      <c r="M59" s="191">
        <f>M60+M61</f>
        <v>1192000</v>
      </c>
      <c r="N59" s="191">
        <f>N60+N61</f>
        <v>600000</v>
      </c>
      <c r="O59" s="191">
        <f>O60+O61</f>
        <v>0</v>
      </c>
      <c r="P59" s="191">
        <f>P60+P61</f>
        <v>0</v>
      </c>
      <c r="Q59" s="191">
        <f>Q60+Q61</f>
        <v>0</v>
      </c>
      <c r="R59" s="191">
        <f>R60+R61</f>
        <v>0</v>
      </c>
      <c r="S59" s="191">
        <f>S60+S61</f>
        <v>0</v>
      </c>
      <c r="T59" s="191">
        <f>T60+T61</f>
        <v>0</v>
      </c>
      <c r="U59" s="191">
        <f>U60+U61</f>
        <v>0</v>
      </c>
      <c r="V59" s="191">
        <f>V60+V61</f>
        <v>0</v>
      </c>
      <c r="W59" s="191">
        <f>W60+W61</f>
        <v>0</v>
      </c>
      <c r="X59" s="191">
        <f>X60+X61</f>
        <v>2292000</v>
      </c>
      <c r="Y59" s="193"/>
    </row>
    <row r="60" spans="1:25" s="198" customFormat="1" ht="30.75" customHeight="1">
      <c r="A60" s="188"/>
      <c r="B60" s="189"/>
      <c r="C60" s="167"/>
      <c r="D60" s="201" t="s">
        <v>150</v>
      </c>
      <c r="E60" s="194" t="s">
        <v>108</v>
      </c>
      <c r="F60" s="194" t="s">
        <v>108</v>
      </c>
      <c r="G60" s="194" t="s">
        <v>108</v>
      </c>
      <c r="H60" s="182">
        <f>SUM(J60:W60)-K60</f>
        <v>0</v>
      </c>
      <c r="I60" s="195"/>
      <c r="J60" s="209">
        <f>J66+J63+J69+J72</f>
        <v>0</v>
      </c>
      <c r="K60" s="210">
        <f>K66+K63+K69+K72</f>
        <v>0</v>
      </c>
      <c r="L60" s="209">
        <f>L66+L63+L69+L72</f>
        <v>0</v>
      </c>
      <c r="M60" s="209">
        <f>M66+M63+M69+M72</f>
        <v>0</v>
      </c>
      <c r="N60" s="209">
        <f>N66+N63+N69+N72</f>
        <v>0</v>
      </c>
      <c r="O60" s="209">
        <f>O66+O63+O69+O72</f>
        <v>0</v>
      </c>
      <c r="P60" s="209">
        <f>P66+P63+P69+P72</f>
        <v>0</v>
      </c>
      <c r="Q60" s="209">
        <f>Q66+Q63+Q69+Q72</f>
        <v>0</v>
      </c>
      <c r="R60" s="209">
        <f>R66+R63+R69+R72</f>
        <v>0</v>
      </c>
      <c r="S60" s="209">
        <f>S66+S63+S69+S72</f>
        <v>0</v>
      </c>
      <c r="T60" s="209">
        <f>T66+T63+T69+T72</f>
        <v>0</v>
      </c>
      <c r="U60" s="209">
        <f>U66+U63+U69+U72</f>
        <v>0</v>
      </c>
      <c r="V60" s="209">
        <f>V66+V63+V69+V72</f>
        <v>0</v>
      </c>
      <c r="W60" s="209">
        <f>W66+W63+W69+W72</f>
        <v>0</v>
      </c>
      <c r="X60" s="182">
        <f>SUM(L60:W60)</f>
        <v>0</v>
      </c>
      <c r="Y60" s="211"/>
    </row>
    <row r="61" spans="1:25" s="198" customFormat="1" ht="30.75" customHeight="1">
      <c r="A61" s="188"/>
      <c r="B61" s="189"/>
      <c r="C61" s="167"/>
      <c r="D61" s="180" t="s">
        <v>159</v>
      </c>
      <c r="E61" s="194" t="s">
        <v>108</v>
      </c>
      <c r="F61" s="194" t="s">
        <v>108</v>
      </c>
      <c r="G61" s="194" t="s">
        <v>108</v>
      </c>
      <c r="H61" s="182">
        <f>SUM(J61:W61)-K61</f>
        <v>2292000</v>
      </c>
      <c r="I61" s="195"/>
      <c r="J61" s="209">
        <f>J67+J64+J70+J73</f>
        <v>0</v>
      </c>
      <c r="K61" s="210">
        <f>K67+K64+K70+K73</f>
        <v>0</v>
      </c>
      <c r="L61" s="209">
        <f>L67+L64+L70+L73</f>
        <v>500000</v>
      </c>
      <c r="M61" s="209">
        <f>M67+M64+M70+M73</f>
        <v>1192000</v>
      </c>
      <c r="N61" s="209">
        <f>N67+N64+N70+N73</f>
        <v>600000</v>
      </c>
      <c r="O61" s="209">
        <f>O67+O64+O70+O73</f>
        <v>0</v>
      </c>
      <c r="P61" s="209">
        <f>P67+P64+P70+P73</f>
        <v>0</v>
      </c>
      <c r="Q61" s="209">
        <f>Q67+Q64+Q70+Q73</f>
        <v>0</v>
      </c>
      <c r="R61" s="209">
        <f>R67+R64+R70+R73</f>
        <v>0</v>
      </c>
      <c r="S61" s="209">
        <f>S67+S64+S70+S73</f>
        <v>0</v>
      </c>
      <c r="T61" s="209">
        <f>T67+T64+T70+T73</f>
        <v>0</v>
      </c>
      <c r="U61" s="209">
        <f>U67+U64+U70+U73</f>
        <v>0</v>
      </c>
      <c r="V61" s="209">
        <f>V67+V64+V70+V73</f>
        <v>0</v>
      </c>
      <c r="W61" s="209">
        <f>W67+W64+W70+W73</f>
        <v>0</v>
      </c>
      <c r="X61" s="182">
        <f>SUM(L61:W61)</f>
        <v>2292000</v>
      </c>
      <c r="Y61" s="211"/>
    </row>
    <row r="62" spans="1:25" s="179" customFormat="1" ht="59.25" customHeight="1">
      <c r="A62" s="188"/>
      <c r="B62" s="189"/>
      <c r="C62" s="161" t="s">
        <v>206</v>
      </c>
      <c r="D62" s="190" t="s">
        <v>207</v>
      </c>
      <c r="E62" s="160" t="s">
        <v>108</v>
      </c>
      <c r="F62" s="160">
        <v>2010</v>
      </c>
      <c r="G62" s="160">
        <v>2012</v>
      </c>
      <c r="H62" s="174">
        <f>SUM(H63:H64)</f>
        <v>657179</v>
      </c>
      <c r="I62" s="195"/>
      <c r="J62" s="191">
        <f>J63+J64</f>
        <v>0</v>
      </c>
      <c r="K62" s="192">
        <f>K63+K64</f>
        <v>0</v>
      </c>
      <c r="L62" s="191">
        <f>L63+L64</f>
        <v>350000</v>
      </c>
      <c r="M62" s="191">
        <f>M63+M64</f>
        <v>0</v>
      </c>
      <c r="N62" s="191">
        <f>N63+N64</f>
        <v>0</v>
      </c>
      <c r="O62" s="191">
        <f>O63+O64</f>
        <v>0</v>
      </c>
      <c r="P62" s="191">
        <f>P63+P64</f>
        <v>0</v>
      </c>
      <c r="Q62" s="191">
        <f>Q63+Q64</f>
        <v>0</v>
      </c>
      <c r="R62" s="191">
        <f>R63+R64</f>
        <v>0</v>
      </c>
      <c r="S62" s="191">
        <f>S63+S64</f>
        <v>0</v>
      </c>
      <c r="T62" s="191">
        <f>T63+T64</f>
        <v>0</v>
      </c>
      <c r="U62" s="191">
        <f>U63+U64</f>
        <v>0</v>
      </c>
      <c r="V62" s="191">
        <f>V63+V64</f>
        <v>0</v>
      </c>
      <c r="W62" s="191">
        <f>W63+W64</f>
        <v>0</v>
      </c>
      <c r="X62" s="191">
        <f>X63+X64</f>
        <v>350000</v>
      </c>
      <c r="Y62" s="193"/>
    </row>
    <row r="63" spans="1:25" s="198" customFormat="1" ht="30.75" customHeight="1">
      <c r="A63" s="188"/>
      <c r="B63" s="189"/>
      <c r="C63" s="161"/>
      <c r="D63" s="201" t="s">
        <v>150</v>
      </c>
      <c r="E63" s="194" t="s">
        <v>108</v>
      </c>
      <c r="F63" s="194" t="s">
        <v>108</v>
      </c>
      <c r="G63" s="194" t="s">
        <v>108</v>
      </c>
      <c r="H63" s="182">
        <f>SUM(J63:W63)-K63</f>
        <v>0</v>
      </c>
      <c r="I63" s="195"/>
      <c r="J63" s="182"/>
      <c r="K63" s="196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>
        <f>SUM(L63:W63)</f>
        <v>0</v>
      </c>
      <c r="Y63" s="193"/>
    </row>
    <row r="64" spans="1:25" s="198" customFormat="1" ht="30.75" customHeight="1">
      <c r="A64" s="188"/>
      <c r="B64" s="212"/>
      <c r="C64" s="161"/>
      <c r="D64" s="180" t="s">
        <v>159</v>
      </c>
      <c r="E64" s="194" t="s">
        <v>108</v>
      </c>
      <c r="F64" s="194" t="s">
        <v>108</v>
      </c>
      <c r="G64" s="194" t="s">
        <v>108</v>
      </c>
      <c r="H64" s="182">
        <f>SUM(J64:W64)+307179</f>
        <v>657179</v>
      </c>
      <c r="I64" s="195"/>
      <c r="J64" s="182"/>
      <c r="K64" s="196"/>
      <c r="L64" s="182">
        <v>350000</v>
      </c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>
        <f>SUM(L64:W64)</f>
        <v>350000</v>
      </c>
      <c r="Y64" s="193"/>
    </row>
    <row r="65" spans="1:25" s="179" customFormat="1" ht="108.75" customHeight="1">
      <c r="A65" s="188"/>
      <c r="B65" s="161"/>
      <c r="C65" s="161" t="s">
        <v>208</v>
      </c>
      <c r="D65" s="213" t="s">
        <v>209</v>
      </c>
      <c r="E65" s="160" t="s">
        <v>108</v>
      </c>
      <c r="F65" s="160" t="s">
        <v>108</v>
      </c>
      <c r="G65" s="160" t="s">
        <v>108</v>
      </c>
      <c r="H65" s="174">
        <f>SUM(H66:H67)</f>
        <v>419660</v>
      </c>
      <c r="I65" s="195"/>
      <c r="J65" s="191">
        <f>J66+J67</f>
        <v>0</v>
      </c>
      <c r="K65" s="192">
        <f>K66+K67</f>
        <v>0</v>
      </c>
      <c r="L65" s="191">
        <f>L66+L67</f>
        <v>100000</v>
      </c>
      <c r="M65" s="191">
        <f>M66+M67</f>
        <v>300000</v>
      </c>
      <c r="N65" s="191">
        <f>N66+N67</f>
        <v>0</v>
      </c>
      <c r="O65" s="191">
        <f>O66+O67</f>
        <v>0</v>
      </c>
      <c r="P65" s="191">
        <f>P66+P67</f>
        <v>0</v>
      </c>
      <c r="Q65" s="191">
        <f>Q66+Q67</f>
        <v>0</v>
      </c>
      <c r="R65" s="191">
        <f>R66+R67</f>
        <v>0</v>
      </c>
      <c r="S65" s="191">
        <f>S66+S67</f>
        <v>0</v>
      </c>
      <c r="T65" s="191">
        <f>T66+T67</f>
        <v>0</v>
      </c>
      <c r="U65" s="191">
        <f>U66+U67</f>
        <v>0</v>
      </c>
      <c r="V65" s="191">
        <f>V66+V67</f>
        <v>0</v>
      </c>
      <c r="W65" s="191">
        <f>W66+W67</f>
        <v>0</v>
      </c>
      <c r="X65" s="191">
        <f>X66+X67</f>
        <v>400000</v>
      </c>
      <c r="Y65" s="193"/>
    </row>
    <row r="66" spans="1:25" s="198" customFormat="1" ht="30.75" customHeight="1">
      <c r="A66" s="188"/>
      <c r="B66" s="161"/>
      <c r="C66" s="180"/>
      <c r="D66" s="201" t="s">
        <v>150</v>
      </c>
      <c r="E66" s="194" t="s">
        <v>108</v>
      </c>
      <c r="F66" s="194" t="s">
        <v>108</v>
      </c>
      <c r="G66" s="194" t="s">
        <v>108</v>
      </c>
      <c r="H66" s="182">
        <f>SUM(J66:W66)-K66</f>
        <v>0</v>
      </c>
      <c r="I66" s="195"/>
      <c r="J66" s="182"/>
      <c r="K66" s="196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>
        <f>SUM(L66:W66)</f>
        <v>0</v>
      </c>
      <c r="Y66" s="197"/>
    </row>
    <row r="67" spans="1:25" s="198" customFormat="1" ht="30.75" customHeight="1">
      <c r="A67" s="188"/>
      <c r="B67" s="161"/>
      <c r="C67" s="180"/>
      <c r="D67" s="180" t="s">
        <v>159</v>
      </c>
      <c r="E67" s="194" t="s">
        <v>108</v>
      </c>
      <c r="F67" s="194">
        <v>2010</v>
      </c>
      <c r="G67" s="194">
        <v>2013</v>
      </c>
      <c r="H67" s="182">
        <f>SUM(J67:W67)+19660</f>
        <v>419660</v>
      </c>
      <c r="I67" s="195"/>
      <c r="J67" s="182"/>
      <c r="K67" s="196"/>
      <c r="L67" s="182">
        <v>100000</v>
      </c>
      <c r="M67" s="182">
        <v>300000</v>
      </c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>
        <f>SUM(L67:W67)</f>
        <v>400000</v>
      </c>
      <c r="Y67" s="197"/>
    </row>
    <row r="68" spans="1:25" s="179" customFormat="1" ht="78.75" customHeight="1">
      <c r="A68" s="214"/>
      <c r="B68" s="161"/>
      <c r="C68" s="161" t="s">
        <v>210</v>
      </c>
      <c r="D68" s="213" t="s">
        <v>211</v>
      </c>
      <c r="E68" s="160" t="s">
        <v>108</v>
      </c>
      <c r="F68" s="160">
        <v>2010</v>
      </c>
      <c r="G68" s="160">
        <v>2013</v>
      </c>
      <c r="H68" s="174">
        <f>SUM(H69:H70)</f>
        <v>405930</v>
      </c>
      <c r="I68" s="195"/>
      <c r="J68" s="191">
        <f>J69+J70</f>
        <v>0</v>
      </c>
      <c r="K68" s="192">
        <f>K69+K70</f>
        <v>0</v>
      </c>
      <c r="L68" s="191">
        <f>L70</f>
        <v>50000</v>
      </c>
      <c r="M68" s="191">
        <f>M70</f>
        <v>342000</v>
      </c>
      <c r="N68" s="191">
        <f>N69+N70</f>
        <v>0</v>
      </c>
      <c r="O68" s="191">
        <f>O69+O70</f>
        <v>0</v>
      </c>
      <c r="P68" s="191"/>
      <c r="Q68" s="191"/>
      <c r="R68" s="191"/>
      <c r="S68" s="191"/>
      <c r="T68" s="191"/>
      <c r="U68" s="191"/>
      <c r="V68" s="191"/>
      <c r="W68" s="191"/>
      <c r="X68" s="174">
        <f>SUM(L68:W68)</f>
        <v>392000</v>
      </c>
      <c r="Y68" s="204"/>
    </row>
    <row r="69" spans="1:25" s="198" customFormat="1" ht="27">
      <c r="A69" s="188"/>
      <c r="B69" s="161"/>
      <c r="C69" s="180"/>
      <c r="D69" s="201" t="s">
        <v>150</v>
      </c>
      <c r="E69" s="194" t="s">
        <v>108</v>
      </c>
      <c r="F69" s="194" t="s">
        <v>108</v>
      </c>
      <c r="G69" s="194" t="s">
        <v>108</v>
      </c>
      <c r="H69" s="182">
        <f>SUM(J69:W69)-K69</f>
        <v>0</v>
      </c>
      <c r="I69" s="195"/>
      <c r="J69" s="182"/>
      <c r="K69" s="196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>
        <f>SUM(L69:W69)</f>
        <v>0</v>
      </c>
      <c r="Y69" s="197"/>
    </row>
    <row r="70" spans="1:25" s="198" customFormat="1" ht="27">
      <c r="A70" s="188"/>
      <c r="B70" s="161"/>
      <c r="C70" s="180"/>
      <c r="D70" s="180" t="s">
        <v>159</v>
      </c>
      <c r="E70" s="194" t="s">
        <v>108</v>
      </c>
      <c r="F70" s="194" t="s">
        <v>108</v>
      </c>
      <c r="G70" s="194" t="s">
        <v>108</v>
      </c>
      <c r="H70" s="182">
        <f>SUM(J70:W70)+13930</f>
        <v>405930</v>
      </c>
      <c r="I70" s="195"/>
      <c r="J70" s="182"/>
      <c r="K70" s="196"/>
      <c r="L70" s="209">
        <v>50000</v>
      </c>
      <c r="M70" s="209">
        <f>292000+50000</f>
        <v>342000</v>
      </c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>
        <f>SUM(L70:W70)</f>
        <v>392000</v>
      </c>
      <c r="Y70" s="197"/>
    </row>
    <row r="71" spans="1:25" s="179" customFormat="1" ht="53.25" customHeight="1">
      <c r="A71" s="188"/>
      <c r="B71" s="161"/>
      <c r="C71" s="161" t="s">
        <v>212</v>
      </c>
      <c r="D71" s="213" t="s">
        <v>213</v>
      </c>
      <c r="E71" s="160" t="s">
        <v>108</v>
      </c>
      <c r="F71" s="160">
        <v>2010</v>
      </c>
      <c r="G71" s="160">
        <v>2014</v>
      </c>
      <c r="H71" s="174">
        <f>SUM(J71:W71)-K71</f>
        <v>1150000</v>
      </c>
      <c r="I71" s="175"/>
      <c r="J71" s="191">
        <f>J72+J73</f>
        <v>0</v>
      </c>
      <c r="K71" s="192"/>
      <c r="L71" s="191">
        <f>L72+L73</f>
        <v>0</v>
      </c>
      <c r="M71" s="191">
        <f>M72+M73</f>
        <v>550000</v>
      </c>
      <c r="N71" s="191">
        <f>N72+N73</f>
        <v>600000</v>
      </c>
      <c r="O71" s="191">
        <f>O72+O73</f>
        <v>0</v>
      </c>
      <c r="P71" s="191">
        <f>P72+P73</f>
        <v>0</v>
      </c>
      <c r="Q71" s="191">
        <f>Q72+Q73</f>
        <v>0</v>
      </c>
      <c r="R71" s="191">
        <f>R72+R73</f>
        <v>0</v>
      </c>
      <c r="S71" s="191">
        <f>S72+S73</f>
        <v>0</v>
      </c>
      <c r="T71" s="191">
        <f>T72+T73</f>
        <v>0</v>
      </c>
      <c r="U71" s="191">
        <f>U72+U73</f>
        <v>0</v>
      </c>
      <c r="V71" s="191">
        <f>V72+V73</f>
        <v>0</v>
      </c>
      <c r="W71" s="191">
        <f>W72+W73</f>
        <v>0</v>
      </c>
      <c r="X71" s="191">
        <f>X72+X73</f>
        <v>1150000</v>
      </c>
      <c r="Y71" s="204"/>
    </row>
    <row r="72" spans="1:25" s="198" customFormat="1" ht="27">
      <c r="A72" s="188"/>
      <c r="B72" s="161"/>
      <c r="C72" s="180"/>
      <c r="D72" s="201" t="s">
        <v>150</v>
      </c>
      <c r="E72" s="194" t="s">
        <v>108</v>
      </c>
      <c r="F72" s="194" t="s">
        <v>108</v>
      </c>
      <c r="G72" s="194" t="s">
        <v>108</v>
      </c>
      <c r="H72" s="182">
        <f>SUM(J72:W72)-K72</f>
        <v>0</v>
      </c>
      <c r="I72" s="195"/>
      <c r="J72" s="182"/>
      <c r="K72" s="196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>
        <f>SUM(L72:W72)</f>
        <v>0</v>
      </c>
      <c r="Y72" s="197"/>
    </row>
    <row r="73" spans="1:25" s="198" customFormat="1" ht="30.75" customHeight="1">
      <c r="A73" s="188"/>
      <c r="B73" s="161"/>
      <c r="C73" s="180"/>
      <c r="D73" s="180" t="s">
        <v>159</v>
      </c>
      <c r="E73" s="194" t="s">
        <v>108</v>
      </c>
      <c r="F73" s="194" t="s">
        <v>108</v>
      </c>
      <c r="G73" s="194" t="s">
        <v>108</v>
      </c>
      <c r="H73" s="182">
        <f>SUM(J73:W73)-K73</f>
        <v>1150000</v>
      </c>
      <c r="I73" s="195"/>
      <c r="J73" s="182"/>
      <c r="K73" s="196"/>
      <c r="L73" s="207"/>
      <c r="M73" s="182">
        <v>550000</v>
      </c>
      <c r="N73" s="182">
        <v>600000</v>
      </c>
      <c r="O73" s="215"/>
      <c r="P73" s="215"/>
      <c r="Q73" s="182"/>
      <c r="R73" s="182"/>
      <c r="S73" s="182"/>
      <c r="T73" s="182"/>
      <c r="U73" s="182"/>
      <c r="V73" s="182"/>
      <c r="W73" s="182"/>
      <c r="X73" s="182">
        <f>SUM(L73:W73)</f>
        <v>1150000</v>
      </c>
      <c r="Y73" s="197"/>
    </row>
    <row r="74" spans="1:25" s="179" customFormat="1" ht="12.75" customHeight="1" hidden="1">
      <c r="A74" s="188"/>
      <c r="B74" s="161"/>
      <c r="C74" s="161" t="s">
        <v>165</v>
      </c>
      <c r="D74" s="173" t="s">
        <v>214</v>
      </c>
      <c r="E74" s="160" t="s">
        <v>162</v>
      </c>
      <c r="F74" s="160"/>
      <c r="G74" s="160"/>
      <c r="H74" s="182">
        <f>SUM(J74:W74)-K74</f>
        <v>0</v>
      </c>
      <c r="I74" s="195" t="e">
        <f>K74/J74*100</f>
        <v>#DIV/0!</v>
      </c>
      <c r="J74" s="191">
        <f>J75+J76</f>
        <v>0</v>
      </c>
      <c r="K74" s="192"/>
      <c r="L74" s="191">
        <f>L75+L76</f>
        <v>0</v>
      </c>
      <c r="M74" s="191">
        <f>M75+M76</f>
        <v>0</v>
      </c>
      <c r="N74" s="191">
        <f>N75+N76</f>
        <v>0</v>
      </c>
      <c r="O74" s="191">
        <f>O75+O76</f>
        <v>0</v>
      </c>
      <c r="P74" s="191">
        <f>P75+P76</f>
        <v>0</v>
      </c>
      <c r="Q74" s="191">
        <f>Q75+Q76</f>
        <v>0</v>
      </c>
      <c r="R74" s="191">
        <f>R75+R76</f>
        <v>0</v>
      </c>
      <c r="S74" s="191">
        <f>S75+S76</f>
        <v>0</v>
      </c>
      <c r="T74" s="191">
        <f>T75+T76</f>
        <v>0</v>
      </c>
      <c r="U74" s="191">
        <f>U75+U76</f>
        <v>0</v>
      </c>
      <c r="V74" s="191">
        <f>V75+V76</f>
        <v>0</v>
      </c>
      <c r="W74" s="191">
        <f>W75+W76</f>
        <v>0</v>
      </c>
      <c r="X74" s="182">
        <f>SUM(L74:W74)</f>
        <v>0</v>
      </c>
      <c r="Y74" s="193"/>
    </row>
    <row r="75" spans="1:25" s="198" customFormat="1" ht="12.75" customHeight="1" hidden="1">
      <c r="A75" s="188"/>
      <c r="B75" s="161"/>
      <c r="C75" s="180"/>
      <c r="D75" s="201" t="s">
        <v>150</v>
      </c>
      <c r="E75" s="194" t="s">
        <v>108</v>
      </c>
      <c r="F75" s="194" t="s">
        <v>108</v>
      </c>
      <c r="G75" s="194" t="s">
        <v>108</v>
      </c>
      <c r="H75" s="182">
        <f>SUM(J75:W75)-K75</f>
        <v>0</v>
      </c>
      <c r="I75" s="195" t="e">
        <f>K75/J75*100</f>
        <v>#DIV/0!</v>
      </c>
      <c r="J75" s="182"/>
      <c r="K75" s="196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>
        <f>SUM(L75:W75)</f>
        <v>0</v>
      </c>
      <c r="Y75" s="197"/>
    </row>
    <row r="76" spans="1:25" s="198" customFormat="1" ht="12.75" customHeight="1" hidden="1">
      <c r="A76" s="188"/>
      <c r="B76" s="161"/>
      <c r="C76" s="180"/>
      <c r="D76" s="180" t="s">
        <v>159</v>
      </c>
      <c r="E76" s="194" t="s">
        <v>108</v>
      </c>
      <c r="F76" s="194">
        <v>2012</v>
      </c>
      <c r="G76" s="194">
        <v>2013</v>
      </c>
      <c r="H76" s="182">
        <f>SUM(J76:W76)-K76</f>
        <v>0</v>
      </c>
      <c r="I76" s="195" t="e">
        <f>K76/J76*100</f>
        <v>#DIV/0!</v>
      </c>
      <c r="J76" s="182"/>
      <c r="K76" s="196"/>
      <c r="L76" s="182">
        <v>0</v>
      </c>
      <c r="M76" s="182">
        <v>0</v>
      </c>
      <c r="N76" s="206"/>
      <c r="O76" s="182"/>
      <c r="P76" s="182"/>
      <c r="Q76" s="182"/>
      <c r="R76" s="182"/>
      <c r="S76" s="182"/>
      <c r="T76" s="182"/>
      <c r="U76" s="182"/>
      <c r="V76" s="182"/>
      <c r="W76" s="182"/>
      <c r="X76" s="182">
        <f>SUM(L76:W76)</f>
        <v>0</v>
      </c>
      <c r="Y76" s="197"/>
    </row>
    <row r="77" spans="1:25" s="187" customFormat="1" ht="101.25" customHeight="1">
      <c r="A77" s="188"/>
      <c r="B77" s="161"/>
      <c r="C77" s="161" t="s">
        <v>165</v>
      </c>
      <c r="D77" s="190" t="s">
        <v>167</v>
      </c>
      <c r="E77" s="160" t="s">
        <v>162</v>
      </c>
      <c r="F77" s="160">
        <v>2008</v>
      </c>
      <c r="G77" s="160">
        <v>2012</v>
      </c>
      <c r="H77" s="174">
        <f>SUM(J77:W77)-K77</f>
        <v>2067742</v>
      </c>
      <c r="I77" s="195">
        <f>K79/J77*100</f>
        <v>0.6415232230412345</v>
      </c>
      <c r="J77" s="191">
        <f>J78+J79</f>
        <v>667742</v>
      </c>
      <c r="K77" s="192">
        <f>K78+K79</f>
        <v>4283.72</v>
      </c>
      <c r="L77" s="191">
        <f>L78+L79</f>
        <v>1400000</v>
      </c>
      <c r="M77" s="191">
        <f>M78+M79</f>
        <v>0</v>
      </c>
      <c r="N77" s="191">
        <f>N78+N79</f>
        <v>0</v>
      </c>
      <c r="O77" s="191">
        <f>O78+O79</f>
        <v>0</v>
      </c>
      <c r="P77" s="191">
        <f>P78+P79</f>
        <v>0</v>
      </c>
      <c r="Q77" s="191">
        <f>Q78+Q79</f>
        <v>0</v>
      </c>
      <c r="R77" s="191">
        <f>R78+R79</f>
        <v>0</v>
      </c>
      <c r="S77" s="191">
        <f>S78+S79</f>
        <v>0</v>
      </c>
      <c r="T77" s="191">
        <f>T78+T79</f>
        <v>0</v>
      </c>
      <c r="U77" s="191">
        <f>U78+U79</f>
        <v>0</v>
      </c>
      <c r="V77" s="191">
        <f>V78+V79</f>
        <v>0</v>
      </c>
      <c r="W77" s="191">
        <f>W78+W79</f>
        <v>0</v>
      </c>
      <c r="X77" s="191">
        <f>X78+X79</f>
        <v>1400000</v>
      </c>
      <c r="Y77" s="193"/>
    </row>
    <row r="78" spans="1:25" s="198" customFormat="1" ht="30.75" customHeight="1">
      <c r="A78" s="188"/>
      <c r="B78" s="161"/>
      <c r="C78" s="180"/>
      <c r="D78" s="201" t="s">
        <v>150</v>
      </c>
      <c r="E78" s="194" t="s">
        <v>108</v>
      </c>
      <c r="F78" s="194" t="s">
        <v>108</v>
      </c>
      <c r="G78" s="194" t="s">
        <v>108</v>
      </c>
      <c r="H78" s="182">
        <f>SUM(J78:W78)-K78</f>
        <v>0</v>
      </c>
      <c r="I78" s="195"/>
      <c r="J78" s="182"/>
      <c r="K78" s="196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>
        <f>SUM(L78:W78)</f>
        <v>0</v>
      </c>
      <c r="Y78" s="197"/>
    </row>
    <row r="79" spans="1:25" s="198" customFormat="1" ht="30.75" customHeight="1">
      <c r="A79" s="188"/>
      <c r="B79" s="161"/>
      <c r="C79" s="180"/>
      <c r="D79" s="180" t="s">
        <v>159</v>
      </c>
      <c r="E79" s="194" t="s">
        <v>108</v>
      </c>
      <c r="F79" s="194" t="s">
        <v>108</v>
      </c>
      <c r="G79" s="194" t="s">
        <v>108</v>
      </c>
      <c r="H79" s="182">
        <f>SUM(J79:W79)</f>
        <v>2072025.72</v>
      </c>
      <c r="I79" s="195">
        <f>K79/J79*100</f>
        <v>0.6415232230412345</v>
      </c>
      <c r="J79" s="182">
        <v>667742</v>
      </c>
      <c r="K79" s="210">
        <f>4283.72</f>
        <v>4283.72</v>
      </c>
      <c r="L79" s="182">
        <v>1400000</v>
      </c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>
        <f>SUM(L79:W79)</f>
        <v>1400000</v>
      </c>
      <c r="Y79" s="197"/>
    </row>
    <row r="80" spans="1:25" s="187" customFormat="1" ht="12.75" customHeight="1" hidden="1">
      <c r="A80" s="188"/>
      <c r="B80" s="216" t="s">
        <v>168</v>
      </c>
      <c r="C80" s="173" t="s">
        <v>169</v>
      </c>
      <c r="D80" s="173"/>
      <c r="E80" s="194" t="s">
        <v>108</v>
      </c>
      <c r="F80" s="194" t="s">
        <v>108</v>
      </c>
      <c r="G80" s="194" t="s">
        <v>108</v>
      </c>
      <c r="H80" s="182">
        <f>SUM(J80:W80)-K80</f>
        <v>0</v>
      </c>
      <c r="I80" s="195"/>
      <c r="J80" s="176">
        <f>J84</f>
        <v>0</v>
      </c>
      <c r="K80" s="177">
        <f>K84</f>
        <v>0</v>
      </c>
      <c r="L80" s="176">
        <f>L84</f>
        <v>0</v>
      </c>
      <c r="M80" s="176">
        <f>M84</f>
        <v>0</v>
      </c>
      <c r="N80" s="176">
        <f>N84</f>
        <v>0</v>
      </c>
      <c r="O80" s="176">
        <f>O84</f>
        <v>0</v>
      </c>
      <c r="P80" s="191"/>
      <c r="Q80" s="191"/>
      <c r="R80" s="191"/>
      <c r="S80" s="191"/>
      <c r="T80" s="191"/>
      <c r="U80" s="191"/>
      <c r="V80" s="191"/>
      <c r="W80" s="191"/>
      <c r="X80" s="182">
        <f>SUM(L80:W80)</f>
        <v>0</v>
      </c>
      <c r="Y80" s="193"/>
    </row>
    <row r="81" spans="1:25" s="179" customFormat="1" ht="12.75" customHeight="1" hidden="1">
      <c r="A81" s="188"/>
      <c r="B81" s="216"/>
      <c r="C81" s="173" t="s">
        <v>150</v>
      </c>
      <c r="D81" s="173"/>
      <c r="E81" s="194" t="s">
        <v>108</v>
      </c>
      <c r="F81" s="194" t="s">
        <v>108</v>
      </c>
      <c r="G81" s="194" t="s">
        <v>108</v>
      </c>
      <c r="H81" s="182">
        <f>SUM(J81:W81)-K81</f>
        <v>0</v>
      </c>
      <c r="I81" s="195"/>
      <c r="J81" s="176">
        <f>J85</f>
        <v>0</v>
      </c>
      <c r="K81" s="177">
        <f>K85</f>
        <v>0</v>
      </c>
      <c r="L81" s="176">
        <f>L85</f>
        <v>0</v>
      </c>
      <c r="M81" s="176">
        <f>M85</f>
        <v>0</v>
      </c>
      <c r="N81" s="176">
        <f>N85</f>
        <v>0</v>
      </c>
      <c r="O81" s="176">
        <f>O85</f>
        <v>0</v>
      </c>
      <c r="P81" s="176"/>
      <c r="Q81" s="176"/>
      <c r="R81" s="176"/>
      <c r="S81" s="176"/>
      <c r="T81" s="176"/>
      <c r="U81" s="176"/>
      <c r="V81" s="176"/>
      <c r="W81" s="176"/>
      <c r="X81" s="182">
        <f>SUM(L81:W81)</f>
        <v>0</v>
      </c>
      <c r="Y81" s="197"/>
    </row>
    <row r="82" spans="1:25" s="179" customFormat="1" ht="12.75" customHeight="1" hidden="1">
      <c r="A82" s="188"/>
      <c r="B82" s="216"/>
      <c r="C82" s="173" t="s">
        <v>151</v>
      </c>
      <c r="D82" s="173"/>
      <c r="E82" s="194" t="s">
        <v>108</v>
      </c>
      <c r="F82" s="194" t="s">
        <v>108</v>
      </c>
      <c r="G82" s="194" t="s">
        <v>108</v>
      </c>
      <c r="H82" s="182">
        <f>SUM(J82:W82)-K82</f>
        <v>0</v>
      </c>
      <c r="I82" s="195"/>
      <c r="J82" s="176">
        <f>J86</f>
        <v>0</v>
      </c>
      <c r="K82" s="177">
        <f>K86</f>
        <v>0</v>
      </c>
      <c r="L82" s="176">
        <f>L86</f>
        <v>0</v>
      </c>
      <c r="M82" s="176">
        <f>M86</f>
        <v>0</v>
      </c>
      <c r="N82" s="176">
        <f>N86</f>
        <v>0</v>
      </c>
      <c r="O82" s="176">
        <f>O86</f>
        <v>0</v>
      </c>
      <c r="P82" s="176"/>
      <c r="Q82" s="176"/>
      <c r="R82" s="176"/>
      <c r="S82" s="176"/>
      <c r="T82" s="176"/>
      <c r="U82" s="176"/>
      <c r="V82" s="176"/>
      <c r="W82" s="176"/>
      <c r="X82" s="182">
        <f>SUM(L82:W82)</f>
        <v>0</v>
      </c>
      <c r="Y82" s="197"/>
    </row>
    <row r="83" spans="1:25" s="184" customFormat="1" ht="12.75" customHeight="1" hidden="1">
      <c r="A83" s="188"/>
      <c r="B83" s="216"/>
      <c r="C83" s="180" t="s">
        <v>155</v>
      </c>
      <c r="D83" s="180"/>
      <c r="E83" s="194" t="s">
        <v>108</v>
      </c>
      <c r="F83" s="194" t="s">
        <v>108</v>
      </c>
      <c r="G83" s="194" t="s">
        <v>108</v>
      </c>
      <c r="H83" s="182">
        <f>SUM(J83:W83)-K83</f>
        <v>0</v>
      </c>
      <c r="I83" s="195"/>
      <c r="J83" s="180"/>
      <c r="K83" s="181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2">
        <f>SUM(L83:W83)</f>
        <v>0</v>
      </c>
      <c r="Y83" s="183"/>
    </row>
    <row r="84" spans="1:25" s="217" customFormat="1" ht="12.75" hidden="1">
      <c r="A84" s="188"/>
      <c r="B84" s="216"/>
      <c r="C84" s="161" t="s">
        <v>156</v>
      </c>
      <c r="D84" s="190" t="s">
        <v>170</v>
      </c>
      <c r="E84" s="194" t="s">
        <v>108</v>
      </c>
      <c r="F84" s="194" t="s">
        <v>108</v>
      </c>
      <c r="G84" s="194" t="s">
        <v>108</v>
      </c>
      <c r="H84" s="182">
        <f>SUM(J84:W84)-K84</f>
        <v>0</v>
      </c>
      <c r="I84" s="195"/>
      <c r="J84" s="191">
        <f>J85+J86</f>
        <v>0</v>
      </c>
      <c r="K84" s="192"/>
      <c r="L84" s="191">
        <f>L85+L86</f>
        <v>0</v>
      </c>
      <c r="M84" s="191">
        <f>M85+M86</f>
        <v>0</v>
      </c>
      <c r="N84" s="191">
        <f>N85+N86</f>
        <v>0</v>
      </c>
      <c r="O84" s="191">
        <f>O85+O86</f>
        <v>0</v>
      </c>
      <c r="P84" s="191"/>
      <c r="Q84" s="191"/>
      <c r="R84" s="191"/>
      <c r="S84" s="191"/>
      <c r="T84" s="191"/>
      <c r="U84" s="191"/>
      <c r="V84" s="191"/>
      <c r="W84" s="191"/>
      <c r="X84" s="182">
        <f>SUM(L84:W84)</f>
        <v>0</v>
      </c>
      <c r="Y84" s="193"/>
    </row>
    <row r="85" spans="1:25" s="218" customFormat="1" ht="12.75" hidden="1">
      <c r="A85" s="188"/>
      <c r="B85" s="216"/>
      <c r="C85" s="180"/>
      <c r="D85" s="201" t="s">
        <v>150</v>
      </c>
      <c r="E85" s="194" t="s">
        <v>108</v>
      </c>
      <c r="F85" s="194" t="s">
        <v>108</v>
      </c>
      <c r="G85" s="194" t="s">
        <v>108</v>
      </c>
      <c r="H85" s="182">
        <f>SUM(J85:W85)-K85</f>
        <v>0</v>
      </c>
      <c r="I85" s="195"/>
      <c r="J85" s="182"/>
      <c r="K85" s="196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>
        <f>SUM(L85:W85)</f>
        <v>0</v>
      </c>
      <c r="Y85" s="197"/>
    </row>
    <row r="86" spans="1:25" s="218" customFormat="1" ht="12.75" hidden="1">
      <c r="A86" s="188"/>
      <c r="B86" s="216"/>
      <c r="C86" s="180"/>
      <c r="D86" s="180" t="s">
        <v>159</v>
      </c>
      <c r="E86" s="194" t="s">
        <v>108</v>
      </c>
      <c r="F86" s="194" t="s">
        <v>108</v>
      </c>
      <c r="G86" s="194" t="s">
        <v>108</v>
      </c>
      <c r="H86" s="182">
        <f>SUM(J86:W86)-K86</f>
        <v>0</v>
      </c>
      <c r="I86" s="195"/>
      <c r="J86" s="182"/>
      <c r="K86" s="196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>
        <f>SUM(L86:W86)</f>
        <v>0</v>
      </c>
      <c r="Y86" s="197"/>
    </row>
    <row r="87" spans="1:25" s="187" customFormat="1" ht="48.75" customHeight="1">
      <c r="A87" s="188"/>
      <c r="B87" s="161" t="s">
        <v>171</v>
      </c>
      <c r="C87" s="173" t="s">
        <v>172</v>
      </c>
      <c r="D87" s="173"/>
      <c r="E87" s="160" t="s">
        <v>162</v>
      </c>
      <c r="F87" s="161" t="s">
        <v>108</v>
      </c>
      <c r="G87" s="161" t="s">
        <v>108</v>
      </c>
      <c r="H87" s="174">
        <f>SUM(J87:W87)-K87</f>
        <v>20374340</v>
      </c>
      <c r="I87" s="195">
        <f>K87/J87*100</f>
        <v>351.2049005342152</v>
      </c>
      <c r="J87" s="191">
        <f>J88+J89</f>
        <v>982750</v>
      </c>
      <c r="K87" s="192">
        <f>K88+K89</f>
        <v>3451466.16</v>
      </c>
      <c r="L87" s="191">
        <f>L88+L89</f>
        <v>3031250</v>
      </c>
      <c r="M87" s="191">
        <f>M88+M89</f>
        <v>1070000</v>
      </c>
      <c r="N87" s="191">
        <f>N88+N89</f>
        <v>8675000</v>
      </c>
      <c r="O87" s="191">
        <f>O88+O89</f>
        <v>6015340</v>
      </c>
      <c r="P87" s="191">
        <f>P88+P89</f>
        <v>300000</v>
      </c>
      <c r="Q87" s="191">
        <f>Q88+Q89</f>
        <v>300000</v>
      </c>
      <c r="R87" s="191">
        <f>R88+R89</f>
        <v>0</v>
      </c>
      <c r="S87" s="191">
        <f>S88+S89</f>
        <v>0</v>
      </c>
      <c r="T87" s="191">
        <f>T88+T89</f>
        <v>0</v>
      </c>
      <c r="U87" s="191">
        <f>U88+U89</f>
        <v>0</v>
      </c>
      <c r="V87" s="191">
        <f>V88+V89</f>
        <v>0</v>
      </c>
      <c r="W87" s="191">
        <f>W88+W89</f>
        <v>0</v>
      </c>
      <c r="X87" s="191">
        <f>X88+X89</f>
        <v>19391590</v>
      </c>
      <c r="Y87" s="193"/>
    </row>
    <row r="88" spans="1:25" s="219" customFormat="1" ht="30.75" customHeight="1">
      <c r="A88" s="188"/>
      <c r="B88" s="216"/>
      <c r="C88" s="173" t="s">
        <v>150</v>
      </c>
      <c r="D88" s="173"/>
      <c r="E88" s="161" t="s">
        <v>108</v>
      </c>
      <c r="F88" s="161" t="s">
        <v>108</v>
      </c>
      <c r="G88" s="161" t="s">
        <v>108</v>
      </c>
      <c r="H88" s="182">
        <f>SUM(J88:W88)-K88</f>
        <v>0</v>
      </c>
      <c r="I88" s="195"/>
      <c r="J88" s="191">
        <f>J116+J110+J107+J104+J101+J98+J95+J92+J113+J122</f>
        <v>0</v>
      </c>
      <c r="K88" s="192">
        <f>K116+K110+K107+K104+K101+K98+K95+K92+K113+K122</f>
        <v>0</v>
      </c>
      <c r="L88" s="191">
        <f>L116+L110+L107+L104+L101+L98+L95+L92+L113+L122</f>
        <v>0</v>
      </c>
      <c r="M88" s="191">
        <f>M116+M110+M107+M104+M101+M98+M95+M92+M113+M122</f>
        <v>0</v>
      </c>
      <c r="N88" s="191">
        <f>N116+N110+N107+N104+N101+N98+N95+N92+N113+N122</f>
        <v>0</v>
      </c>
      <c r="O88" s="191">
        <f>O116+O110+O107+O104+O101+O98+O95+O92+O113+O122</f>
        <v>0</v>
      </c>
      <c r="P88" s="191">
        <f>P116+P110+P107+P104+P101+P98+P95+P92+P113+P122</f>
        <v>0</v>
      </c>
      <c r="Q88" s="191">
        <f>Q116+Q110+Q107+Q104+Q101+Q98+Q95+Q92+Q113+Q122</f>
        <v>0</v>
      </c>
      <c r="R88" s="191">
        <f>R116+R110+R107+R104+R101+R98+R95+R92+R113+R122</f>
        <v>0</v>
      </c>
      <c r="S88" s="191">
        <f>S116+S110+S107+S104+S101+S98+S95+S92+S113+S122</f>
        <v>0</v>
      </c>
      <c r="T88" s="191">
        <f>T116+T110+T107+T104+T101+T98+T95+T92+T113+T122</f>
        <v>0</v>
      </c>
      <c r="U88" s="191">
        <f>U116+U110+U107+U104+U101+U98+U95+U92+U113+U122</f>
        <v>0</v>
      </c>
      <c r="V88" s="191">
        <f>V116+V110+V107+V104+V101+V98+V95+V92+V113+V122</f>
        <v>0</v>
      </c>
      <c r="W88" s="191">
        <f>W116+W110+W107+W104+W101+W98+W95+W92+W113+W122</f>
        <v>0</v>
      </c>
      <c r="X88" s="174">
        <f>SUM(L88:W88)</f>
        <v>0</v>
      </c>
      <c r="Y88" s="193"/>
    </row>
    <row r="89" spans="1:25" s="219" customFormat="1" ht="30.75" customHeight="1">
      <c r="A89" s="188"/>
      <c r="B89" s="216"/>
      <c r="C89" s="173" t="s">
        <v>151</v>
      </c>
      <c r="D89" s="173"/>
      <c r="E89" s="161" t="s">
        <v>108</v>
      </c>
      <c r="F89" s="161" t="s">
        <v>108</v>
      </c>
      <c r="G89" s="161" t="s">
        <v>108</v>
      </c>
      <c r="H89" s="174">
        <f>SUM(J89:W89)-K89</f>
        <v>20374340</v>
      </c>
      <c r="I89" s="195">
        <f>K89/J89*100</f>
        <v>351.2049005342152</v>
      </c>
      <c r="J89" s="191">
        <f>J117+J111+J108+J105+J102+J99+J96+J93+J114+J123+J120+H126</f>
        <v>982750</v>
      </c>
      <c r="K89" s="191">
        <f>K117+K111+K108+K105+K102+K99+K96+K93+K114+K123+K120+I126</f>
        <v>3451466.16</v>
      </c>
      <c r="L89" s="191">
        <f>L117+L111+L108+L105+L102+L99+L96+L93+L114+L123+L120+L126</f>
        <v>3031250</v>
      </c>
      <c r="M89" s="191">
        <f>M117+M111+M108+M105+M102+M99+M96+M93+M114+M123+M120+M126</f>
        <v>1070000</v>
      </c>
      <c r="N89" s="191">
        <f>N117+N111+N108+N105+N102+N99+N96+N93+N114+N123+N120+N126</f>
        <v>8675000</v>
      </c>
      <c r="O89" s="191">
        <f>O117+O111+O108+O105+O102+O99+O96+O93+O114+O123+O120+O126</f>
        <v>6015340</v>
      </c>
      <c r="P89" s="191">
        <f>P117+P111+P108+P105+P102+P99+P96+P93+P114+P123+P120+P126</f>
        <v>300000</v>
      </c>
      <c r="Q89" s="191">
        <f>Q117+Q111+Q108+Q105+Q102+Q99+Q96+Q93+Q114+Q123+Q120+Q126</f>
        <v>300000</v>
      </c>
      <c r="R89" s="191">
        <f>R117+R111+R108+R105+R102+R99+R96+R93+R114+R123+R120+R126</f>
        <v>0</v>
      </c>
      <c r="S89" s="191">
        <f>S117+S111+S108+S105+S102+S99+S96+S93+S114+S123+S120+S126</f>
        <v>0</v>
      </c>
      <c r="T89" s="191">
        <f>T117+T111+T108+T105+T102+T99+T96+T93+T114+T123+T120+T126</f>
        <v>0</v>
      </c>
      <c r="U89" s="191">
        <f>U117+U111+U108+U105+U102+U99+U96+U93+U114+U123+U120+U126</f>
        <v>0</v>
      </c>
      <c r="V89" s="191">
        <f>V117+V111+V108+V105+V102+V99+V96+V93+V114+V123+V120+V126</f>
        <v>0</v>
      </c>
      <c r="W89" s="191">
        <f>W117+W111+W108+W105+W102+W99+W96+W93+W114+W123+W120+W126</f>
        <v>0</v>
      </c>
      <c r="X89" s="191">
        <f>X117+X111+X108+X105+X102+X99+X96+X93+X114+X123+X120+X126</f>
        <v>19391590</v>
      </c>
      <c r="Y89" s="193"/>
    </row>
    <row r="90" spans="1:25" s="217" customFormat="1" ht="24.75" customHeight="1">
      <c r="A90" s="188"/>
      <c r="B90" s="216"/>
      <c r="C90" s="180" t="s">
        <v>155</v>
      </c>
      <c r="D90" s="180"/>
      <c r="E90" s="180"/>
      <c r="F90" s="180"/>
      <c r="G90" s="180"/>
      <c r="H90" s="182">
        <f>SUM(J90:W90)-K90</f>
        <v>0</v>
      </c>
      <c r="I90" s="195"/>
      <c r="J90" s="180"/>
      <c r="K90" s="181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2">
        <f>SUM(L90:W90)</f>
        <v>0</v>
      </c>
      <c r="Y90" s="183"/>
    </row>
    <row r="91" spans="1:25" s="220" customFormat="1" ht="12.75" customHeight="1" hidden="1">
      <c r="A91" s="188"/>
      <c r="B91" s="216"/>
      <c r="C91" s="161" t="s">
        <v>156</v>
      </c>
      <c r="D91" s="203"/>
      <c r="E91" s="160"/>
      <c r="F91" s="160"/>
      <c r="G91" s="160"/>
      <c r="H91" s="174"/>
      <c r="I91" s="195"/>
      <c r="J91" s="191"/>
      <c r="K91" s="192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3"/>
    </row>
    <row r="92" spans="1:25" s="218" customFormat="1" ht="12.75" customHeight="1" hidden="1">
      <c r="A92" s="188"/>
      <c r="B92" s="216"/>
      <c r="C92" s="180"/>
      <c r="D92" s="201"/>
      <c r="E92" s="194"/>
      <c r="F92" s="194"/>
      <c r="G92" s="194"/>
      <c r="H92" s="182"/>
      <c r="I92" s="195"/>
      <c r="J92" s="182"/>
      <c r="K92" s="196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97"/>
    </row>
    <row r="93" spans="1:25" s="218" customFormat="1" ht="12.75" customHeight="1" hidden="1">
      <c r="A93" s="188"/>
      <c r="B93" s="216"/>
      <c r="C93" s="180"/>
      <c r="D93" s="180"/>
      <c r="E93" s="194"/>
      <c r="F93" s="194"/>
      <c r="G93" s="194"/>
      <c r="H93" s="182"/>
      <c r="I93" s="195"/>
      <c r="J93" s="182"/>
      <c r="K93" s="196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97"/>
    </row>
    <row r="94" spans="1:25" s="219" customFormat="1" ht="50.25">
      <c r="A94" s="188"/>
      <c r="B94" s="216"/>
      <c r="C94" s="161" t="s">
        <v>156</v>
      </c>
      <c r="D94" s="190" t="s">
        <v>215</v>
      </c>
      <c r="E94" s="160" t="s">
        <v>108</v>
      </c>
      <c r="F94" s="160">
        <v>2011</v>
      </c>
      <c r="G94" s="160">
        <v>2015</v>
      </c>
      <c r="H94" s="174">
        <f>SUM(J94:W94)-K94</f>
        <v>2230000</v>
      </c>
      <c r="I94" s="195"/>
      <c r="J94" s="191">
        <f>J95+J96</f>
        <v>0</v>
      </c>
      <c r="K94" s="192">
        <f>K95+K96</f>
        <v>0</v>
      </c>
      <c r="L94" s="191">
        <f>L95+L96</f>
        <v>230000</v>
      </c>
      <c r="M94" s="191">
        <f>M95+M96</f>
        <v>0</v>
      </c>
      <c r="N94" s="191">
        <f>N95+N96</f>
        <v>1000000</v>
      </c>
      <c r="O94" s="191">
        <f>O95+O96</f>
        <v>1000000</v>
      </c>
      <c r="P94" s="191">
        <f>P95+P96</f>
        <v>0</v>
      </c>
      <c r="Q94" s="191">
        <f>Q95+Q96</f>
        <v>0</v>
      </c>
      <c r="R94" s="191">
        <f>R95+R96</f>
        <v>0</v>
      </c>
      <c r="S94" s="191">
        <f>S95+S96</f>
        <v>0</v>
      </c>
      <c r="T94" s="191">
        <f>T95+T96</f>
        <v>0</v>
      </c>
      <c r="U94" s="191">
        <f>U95+U96</f>
        <v>0</v>
      </c>
      <c r="V94" s="191">
        <f>V95+V96</f>
        <v>0</v>
      </c>
      <c r="W94" s="191">
        <f>W95+W96</f>
        <v>0</v>
      </c>
      <c r="X94" s="191">
        <f>X95+X96</f>
        <v>2230000</v>
      </c>
      <c r="Y94" s="204"/>
    </row>
    <row r="95" spans="1:25" s="218" customFormat="1" ht="30.75" customHeight="1">
      <c r="A95" s="188"/>
      <c r="B95" s="216"/>
      <c r="C95" s="180"/>
      <c r="D95" s="201" t="s">
        <v>150</v>
      </c>
      <c r="E95" s="194" t="s">
        <v>108</v>
      </c>
      <c r="F95" s="194" t="s">
        <v>108</v>
      </c>
      <c r="G95" s="194" t="s">
        <v>108</v>
      </c>
      <c r="H95" s="182">
        <f>SUM(J95:W95)-K95</f>
        <v>0</v>
      </c>
      <c r="I95" s="195"/>
      <c r="J95" s="182"/>
      <c r="K95" s="196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>
        <f>SUM(L95:W95)</f>
        <v>0</v>
      </c>
      <c r="Y95" s="197"/>
    </row>
    <row r="96" spans="1:25" s="218" customFormat="1" ht="30.75" customHeight="1">
      <c r="A96" s="188"/>
      <c r="B96" s="216"/>
      <c r="C96" s="180"/>
      <c r="D96" s="180" t="s">
        <v>159</v>
      </c>
      <c r="E96" s="194" t="s">
        <v>108</v>
      </c>
      <c r="F96" s="194" t="s">
        <v>108</v>
      </c>
      <c r="G96" s="194" t="s">
        <v>108</v>
      </c>
      <c r="H96" s="182">
        <f>SUM(J96:W96)-K96</f>
        <v>2230000</v>
      </c>
      <c r="I96" s="195"/>
      <c r="J96" s="182"/>
      <c r="K96" s="196"/>
      <c r="L96" s="182">
        <v>230000</v>
      </c>
      <c r="M96" s="182">
        <v>0</v>
      </c>
      <c r="N96" s="182">
        <v>1000000</v>
      </c>
      <c r="O96" s="182">
        <v>1000000</v>
      </c>
      <c r="P96" s="207"/>
      <c r="Q96" s="207"/>
      <c r="R96" s="182"/>
      <c r="S96" s="182"/>
      <c r="T96" s="182"/>
      <c r="U96" s="182"/>
      <c r="V96" s="182"/>
      <c r="W96" s="182"/>
      <c r="X96" s="182">
        <f>SUM(L96:W96)</f>
        <v>2230000</v>
      </c>
      <c r="Y96" s="197"/>
    </row>
    <row r="97" spans="1:25" s="219" customFormat="1" ht="48.75">
      <c r="A97" s="188"/>
      <c r="B97" s="216"/>
      <c r="C97" s="161" t="s">
        <v>160</v>
      </c>
      <c r="D97" s="190" t="s">
        <v>216</v>
      </c>
      <c r="E97" s="160" t="s">
        <v>108</v>
      </c>
      <c r="F97" s="160">
        <v>2014</v>
      </c>
      <c r="G97" s="160">
        <v>2015</v>
      </c>
      <c r="H97" s="174">
        <f>SUM(J97:W97)-K97</f>
        <v>2000000</v>
      </c>
      <c r="I97" s="195"/>
      <c r="J97" s="191">
        <f>J98+J99</f>
        <v>0</v>
      </c>
      <c r="K97" s="192"/>
      <c r="L97" s="191">
        <f>L98+L99</f>
        <v>0</v>
      </c>
      <c r="M97" s="191">
        <f>M98+M99</f>
        <v>0</v>
      </c>
      <c r="N97" s="191">
        <f>N98+N99</f>
        <v>1800000</v>
      </c>
      <c r="O97" s="191">
        <f>O98+O99</f>
        <v>200000</v>
      </c>
      <c r="P97" s="191">
        <f>P98+P99</f>
        <v>0</v>
      </c>
      <c r="Q97" s="191">
        <f>Q98+Q99</f>
        <v>0</v>
      </c>
      <c r="R97" s="191">
        <f>R98+R99</f>
        <v>0</v>
      </c>
      <c r="S97" s="191">
        <f>S98+S99</f>
        <v>0</v>
      </c>
      <c r="T97" s="191">
        <f>T98+T99</f>
        <v>0</v>
      </c>
      <c r="U97" s="191">
        <f>U98+U99</f>
        <v>0</v>
      </c>
      <c r="V97" s="191">
        <f>V98+V99</f>
        <v>0</v>
      </c>
      <c r="W97" s="191">
        <f>W98+W99</f>
        <v>0</v>
      </c>
      <c r="X97" s="191">
        <f>X98+X99</f>
        <v>2000000</v>
      </c>
      <c r="Y97" s="204"/>
    </row>
    <row r="98" spans="1:25" s="218" customFormat="1" ht="30.75" customHeight="1">
      <c r="A98" s="188"/>
      <c r="B98" s="216"/>
      <c r="C98" s="180"/>
      <c r="D98" s="201" t="s">
        <v>150</v>
      </c>
      <c r="E98" s="194" t="s">
        <v>108</v>
      </c>
      <c r="F98" s="194" t="s">
        <v>108</v>
      </c>
      <c r="G98" s="194" t="s">
        <v>108</v>
      </c>
      <c r="H98" s="182">
        <f>SUM(J98:W98)-K98</f>
        <v>0</v>
      </c>
      <c r="I98" s="195"/>
      <c r="J98" s="182"/>
      <c r="K98" s="196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>
        <f>SUM(L98:W98)</f>
        <v>0</v>
      </c>
      <c r="Y98" s="197"/>
    </row>
    <row r="99" spans="1:25" s="218" customFormat="1" ht="30.75" customHeight="1">
      <c r="A99" s="188"/>
      <c r="B99" s="216"/>
      <c r="C99" s="180"/>
      <c r="D99" s="180" t="s">
        <v>159</v>
      </c>
      <c r="E99" s="194" t="s">
        <v>108</v>
      </c>
      <c r="F99" s="194" t="s">
        <v>108</v>
      </c>
      <c r="G99" s="194" t="s">
        <v>108</v>
      </c>
      <c r="H99" s="182">
        <f>SUM(J99:W99)-K99</f>
        <v>2000000</v>
      </c>
      <c r="I99" s="195"/>
      <c r="J99" s="182"/>
      <c r="K99" s="196"/>
      <c r="L99" s="182"/>
      <c r="M99" s="182"/>
      <c r="N99" s="182">
        <v>1800000</v>
      </c>
      <c r="O99" s="182">
        <v>200000</v>
      </c>
      <c r="P99" s="182"/>
      <c r="Q99" s="182"/>
      <c r="R99" s="182"/>
      <c r="S99" s="182"/>
      <c r="T99" s="182"/>
      <c r="U99" s="182"/>
      <c r="V99" s="182"/>
      <c r="W99" s="182"/>
      <c r="X99" s="182">
        <f>SUM(L99:W99)</f>
        <v>2000000</v>
      </c>
      <c r="Y99" s="197"/>
    </row>
    <row r="100" spans="1:25" s="218" customFormat="1" ht="72.75">
      <c r="A100" s="188"/>
      <c r="B100" s="216"/>
      <c r="C100" s="161" t="s">
        <v>163</v>
      </c>
      <c r="D100" s="173" t="s">
        <v>217</v>
      </c>
      <c r="E100" s="160" t="s">
        <v>108</v>
      </c>
      <c r="F100" s="160">
        <v>2013</v>
      </c>
      <c r="G100" s="160">
        <v>2014</v>
      </c>
      <c r="H100" s="174">
        <f>SUM(J100:W100)-K100</f>
        <v>3400000</v>
      </c>
      <c r="I100" s="191">
        <f>I101+I102</f>
        <v>0</v>
      </c>
      <c r="J100" s="191">
        <f>J101+J102</f>
        <v>0</v>
      </c>
      <c r="K100" s="191">
        <f>K101+K102</f>
        <v>3400000</v>
      </c>
      <c r="L100" s="191">
        <f>L101+L102</f>
        <v>0</v>
      </c>
      <c r="M100" s="191">
        <f>M101+M102</f>
        <v>400000</v>
      </c>
      <c r="N100" s="191">
        <f>N101+N102</f>
        <v>3000000</v>
      </c>
      <c r="O100" s="191">
        <f>O101+O102</f>
        <v>0</v>
      </c>
      <c r="P100" s="191">
        <f>P101+P102</f>
        <v>0</v>
      </c>
      <c r="Q100" s="191">
        <f>Q101+Q102</f>
        <v>0</v>
      </c>
      <c r="R100" s="191">
        <f>R101+R102</f>
        <v>0</v>
      </c>
      <c r="S100" s="191">
        <f>S101+S102</f>
        <v>0</v>
      </c>
      <c r="T100" s="191">
        <f>T101+T102</f>
        <v>0</v>
      </c>
      <c r="U100" s="191">
        <f>U101+U102</f>
        <v>0</v>
      </c>
      <c r="V100" s="191">
        <f>V101+V102</f>
        <v>0</v>
      </c>
      <c r="W100" s="191">
        <f>W101+W102</f>
        <v>0</v>
      </c>
      <c r="X100" s="191">
        <f>X101+X102</f>
        <v>3400000</v>
      </c>
      <c r="Y100" s="197"/>
    </row>
    <row r="101" spans="1:25" s="218" customFormat="1" ht="30.75" customHeight="1">
      <c r="A101" s="188"/>
      <c r="B101" s="216"/>
      <c r="C101" s="167"/>
      <c r="D101" s="201" t="s">
        <v>150</v>
      </c>
      <c r="E101" s="194" t="s">
        <v>108</v>
      </c>
      <c r="F101" s="194" t="s">
        <v>108</v>
      </c>
      <c r="G101" s="194" t="s">
        <v>108</v>
      </c>
      <c r="H101" s="182">
        <f>SUM(J101:W101)-K101</f>
        <v>0</v>
      </c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>
        <f>SUM(I101:U101)</f>
        <v>0</v>
      </c>
      <c r="W101" s="182"/>
      <c r="X101" s="182">
        <f>SUM(L101:W101)</f>
        <v>0</v>
      </c>
      <c r="Y101" s="197"/>
    </row>
    <row r="102" spans="1:25" s="218" customFormat="1" ht="30.75" customHeight="1">
      <c r="A102" s="188"/>
      <c r="B102" s="221"/>
      <c r="C102" s="167"/>
      <c r="D102" s="180" t="s">
        <v>159</v>
      </c>
      <c r="E102" s="194" t="s">
        <v>108</v>
      </c>
      <c r="F102" s="194" t="s">
        <v>108</v>
      </c>
      <c r="G102" s="194" t="s">
        <v>108</v>
      </c>
      <c r="H102" s="182">
        <f>SUM(J102:W102)-K102</f>
        <v>3400000</v>
      </c>
      <c r="I102" s="182"/>
      <c r="J102" s="182"/>
      <c r="K102" s="182">
        <v>3400000</v>
      </c>
      <c r="L102" s="182"/>
      <c r="M102" s="182">
        <v>400000</v>
      </c>
      <c r="N102" s="182">
        <v>3000000</v>
      </c>
      <c r="O102" s="182"/>
      <c r="P102" s="182"/>
      <c r="Q102" s="182"/>
      <c r="R102" s="182"/>
      <c r="S102" s="182"/>
      <c r="T102" s="182"/>
      <c r="U102" s="182"/>
      <c r="V102" s="182"/>
      <c r="W102" s="182"/>
      <c r="X102" s="182">
        <f>SUM(L102:W102)</f>
        <v>3400000</v>
      </c>
      <c r="Y102" s="197"/>
    </row>
    <row r="103" spans="1:25" s="219" customFormat="1" ht="54.75" customHeight="1">
      <c r="A103" s="188"/>
      <c r="B103" s="216"/>
      <c r="C103" s="161" t="s">
        <v>165</v>
      </c>
      <c r="D103" s="190" t="s">
        <v>218</v>
      </c>
      <c r="E103" s="160" t="s">
        <v>108</v>
      </c>
      <c r="F103" s="160">
        <v>2009</v>
      </c>
      <c r="G103" s="160">
        <v>2014</v>
      </c>
      <c r="H103" s="174">
        <f>SUM(J103:W103)-K103</f>
        <v>2427330</v>
      </c>
      <c r="I103" s="175">
        <f>K103/J103*100</f>
        <v>10.78209205371546</v>
      </c>
      <c r="J103" s="192">
        <f>J104+J105</f>
        <v>477330</v>
      </c>
      <c r="K103" s="192">
        <f>K104+K105</f>
        <v>51466.16</v>
      </c>
      <c r="L103" s="191">
        <f>L104+L105</f>
        <v>950000</v>
      </c>
      <c r="M103" s="191">
        <f>M104+M105</f>
        <v>0</v>
      </c>
      <c r="N103" s="191">
        <f>N104+N105</f>
        <v>1000000</v>
      </c>
      <c r="O103" s="191">
        <f>O104+O105</f>
        <v>0</v>
      </c>
      <c r="P103" s="191">
        <f>P104+P105</f>
        <v>0</v>
      </c>
      <c r="Q103" s="191">
        <f>Q104+Q105</f>
        <v>0</v>
      </c>
      <c r="R103" s="191">
        <f>R104+R105</f>
        <v>0</v>
      </c>
      <c r="S103" s="191">
        <f>S104+S105</f>
        <v>0</v>
      </c>
      <c r="T103" s="191">
        <f>T104+T105</f>
        <v>0</v>
      </c>
      <c r="U103" s="191">
        <f>U104+U105</f>
        <v>0</v>
      </c>
      <c r="V103" s="191">
        <f>V104+V105</f>
        <v>0</v>
      </c>
      <c r="W103" s="191">
        <f>W104+W105</f>
        <v>0</v>
      </c>
      <c r="X103" s="191">
        <f>X104+X105</f>
        <v>1950000</v>
      </c>
      <c r="Y103" s="204"/>
    </row>
    <row r="104" spans="1:25" s="218" customFormat="1" ht="30.75" customHeight="1">
      <c r="A104" s="188"/>
      <c r="B104" s="216"/>
      <c r="C104" s="180"/>
      <c r="D104" s="201" t="s">
        <v>150</v>
      </c>
      <c r="E104" s="194" t="s">
        <v>108</v>
      </c>
      <c r="F104" s="194" t="s">
        <v>108</v>
      </c>
      <c r="G104" s="194" t="s">
        <v>108</v>
      </c>
      <c r="H104" s="182">
        <f>SUM(J104:W104)-K104</f>
        <v>0</v>
      </c>
      <c r="I104" s="195"/>
      <c r="J104" s="182"/>
      <c r="K104" s="19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>
        <f>SUM(L104:W104)</f>
        <v>0</v>
      </c>
      <c r="Y104" s="197"/>
    </row>
    <row r="105" spans="1:25" s="218" customFormat="1" ht="30.75" customHeight="1">
      <c r="A105" s="188"/>
      <c r="B105" s="216"/>
      <c r="C105" s="180"/>
      <c r="D105" s="180" t="s">
        <v>159</v>
      </c>
      <c r="E105" s="194" t="s">
        <v>108</v>
      </c>
      <c r="F105" s="194" t="s">
        <v>108</v>
      </c>
      <c r="G105" s="194" t="s">
        <v>108</v>
      </c>
      <c r="H105" s="182">
        <f>SUM(J105:W105)-K105</f>
        <v>2427330</v>
      </c>
      <c r="I105" s="195">
        <f>K105/J105*100</f>
        <v>10.78209205371546</v>
      </c>
      <c r="J105" s="182">
        <v>477330</v>
      </c>
      <c r="K105" s="196">
        <v>51466.16</v>
      </c>
      <c r="L105" s="182">
        <v>950000</v>
      </c>
      <c r="M105" s="207"/>
      <c r="N105" s="182">
        <v>1000000</v>
      </c>
      <c r="O105" s="206"/>
      <c r="P105" s="182"/>
      <c r="Q105" s="182"/>
      <c r="R105" s="182"/>
      <c r="S105" s="182"/>
      <c r="T105" s="182"/>
      <c r="U105" s="182"/>
      <c r="V105" s="182"/>
      <c r="W105" s="182"/>
      <c r="X105" s="182">
        <f>SUM(L105:W105)</f>
        <v>1950000</v>
      </c>
      <c r="Y105" s="197"/>
    </row>
    <row r="106" spans="1:25" s="219" customFormat="1" ht="41.25" customHeight="1">
      <c r="A106" s="188"/>
      <c r="B106" s="216"/>
      <c r="C106" s="161" t="s">
        <v>219</v>
      </c>
      <c r="D106" s="190" t="s">
        <v>220</v>
      </c>
      <c r="E106" s="160" t="s">
        <v>108</v>
      </c>
      <c r="F106" s="160">
        <v>2011</v>
      </c>
      <c r="G106" s="160">
        <v>2012</v>
      </c>
      <c r="H106" s="174">
        <f>SUM(J106:W106)-K106</f>
        <v>1212515</v>
      </c>
      <c r="I106" s="175">
        <f>K106/J106*100</f>
        <v>0</v>
      </c>
      <c r="J106" s="192">
        <f>J107+J108</f>
        <v>37515</v>
      </c>
      <c r="K106" s="192">
        <f>K107+K108</f>
        <v>0</v>
      </c>
      <c r="L106" s="191">
        <f>L107+L108</f>
        <v>1175000</v>
      </c>
      <c r="M106" s="191">
        <f>M107+M108</f>
        <v>0</v>
      </c>
      <c r="N106" s="191">
        <f>N107+N108</f>
        <v>0</v>
      </c>
      <c r="O106" s="191">
        <f>O107+O108</f>
        <v>0</v>
      </c>
      <c r="P106" s="191">
        <f>P107+P108</f>
        <v>0</v>
      </c>
      <c r="Q106" s="191">
        <f>Q107+Q108</f>
        <v>0</v>
      </c>
      <c r="R106" s="191">
        <f>R107+R108</f>
        <v>0</v>
      </c>
      <c r="S106" s="191">
        <f>S107+S108</f>
        <v>0</v>
      </c>
      <c r="T106" s="191">
        <f>T107+T108</f>
        <v>0</v>
      </c>
      <c r="U106" s="191">
        <f>U107+U108</f>
        <v>0</v>
      </c>
      <c r="V106" s="191">
        <f>V107+V108</f>
        <v>0</v>
      </c>
      <c r="W106" s="191">
        <f>W107+W108</f>
        <v>0</v>
      </c>
      <c r="X106" s="191">
        <f>X107+X108</f>
        <v>1175000</v>
      </c>
      <c r="Y106" s="204"/>
    </row>
    <row r="107" spans="1:25" s="218" customFormat="1" ht="27">
      <c r="A107" s="188"/>
      <c r="B107" s="216"/>
      <c r="C107" s="180"/>
      <c r="D107" s="201" t="s">
        <v>150</v>
      </c>
      <c r="E107" s="194" t="s">
        <v>108</v>
      </c>
      <c r="F107" s="194" t="s">
        <v>108</v>
      </c>
      <c r="G107" s="194" t="s">
        <v>108</v>
      </c>
      <c r="H107" s="182">
        <f>SUM(J107:W107)-K107</f>
        <v>0</v>
      </c>
      <c r="I107" s="195"/>
      <c r="J107" s="182"/>
      <c r="K107" s="196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>
        <f>SUM(L107:W107)</f>
        <v>0</v>
      </c>
      <c r="Y107" s="197"/>
    </row>
    <row r="108" spans="1:25" s="218" customFormat="1" ht="30.75" customHeight="1">
      <c r="A108" s="188"/>
      <c r="B108" s="216"/>
      <c r="C108" s="180"/>
      <c r="D108" s="180" t="s">
        <v>159</v>
      </c>
      <c r="E108" s="194" t="s">
        <v>108</v>
      </c>
      <c r="F108" s="194" t="s">
        <v>108</v>
      </c>
      <c r="G108" s="194" t="s">
        <v>108</v>
      </c>
      <c r="H108" s="182">
        <f>SUM(J108:W108)-K108</f>
        <v>1212515</v>
      </c>
      <c r="I108" s="195">
        <f>K108/J108*100</f>
        <v>0</v>
      </c>
      <c r="J108" s="182">
        <v>37515</v>
      </c>
      <c r="K108" s="196">
        <v>0</v>
      </c>
      <c r="L108" s="182">
        <f>1400000-225000</f>
        <v>1175000</v>
      </c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>
        <f>SUM(L108:W108)</f>
        <v>1175000</v>
      </c>
      <c r="Y108" s="197"/>
    </row>
    <row r="109" spans="1:25" s="219" customFormat="1" ht="57.75" customHeight="1">
      <c r="A109" s="188"/>
      <c r="B109" s="216"/>
      <c r="C109" s="161" t="s">
        <v>221</v>
      </c>
      <c r="D109" s="190" t="s">
        <v>222</v>
      </c>
      <c r="E109" s="160" t="s">
        <v>108</v>
      </c>
      <c r="F109" s="160">
        <v>2016</v>
      </c>
      <c r="G109" s="160">
        <v>2017</v>
      </c>
      <c r="H109" s="174">
        <f>SUM(J109:W109)-K109</f>
        <v>600000</v>
      </c>
      <c r="I109" s="195"/>
      <c r="J109" s="191">
        <f>J110+J111</f>
        <v>0</v>
      </c>
      <c r="K109" s="192">
        <f>K110+K111</f>
        <v>0</v>
      </c>
      <c r="L109" s="191">
        <f>L110+L111</f>
        <v>0</v>
      </c>
      <c r="M109" s="191">
        <f>M110+M111</f>
        <v>0</v>
      </c>
      <c r="N109" s="191">
        <f>N110+N111</f>
        <v>0</v>
      </c>
      <c r="O109" s="191">
        <f>O110+O111</f>
        <v>0</v>
      </c>
      <c r="P109" s="191">
        <f>P110+P111</f>
        <v>300000</v>
      </c>
      <c r="Q109" s="191">
        <f>Q110+Q111</f>
        <v>300000</v>
      </c>
      <c r="R109" s="191">
        <f>R110+R111</f>
        <v>0</v>
      </c>
      <c r="S109" s="191">
        <f>S110+S111</f>
        <v>0</v>
      </c>
      <c r="T109" s="191">
        <f>T110+T111</f>
        <v>0</v>
      </c>
      <c r="U109" s="191">
        <f>U110+U111</f>
        <v>0</v>
      </c>
      <c r="V109" s="191">
        <f>V110+V111</f>
        <v>0</v>
      </c>
      <c r="W109" s="191">
        <f>W110+W111</f>
        <v>0</v>
      </c>
      <c r="X109" s="191">
        <f>X110+X111</f>
        <v>600000</v>
      </c>
      <c r="Y109" s="204"/>
    </row>
    <row r="110" spans="1:25" s="218" customFormat="1" ht="30.75" customHeight="1">
      <c r="A110" s="188"/>
      <c r="B110" s="216"/>
      <c r="C110" s="180"/>
      <c r="D110" s="201" t="s">
        <v>150</v>
      </c>
      <c r="E110" s="194" t="s">
        <v>108</v>
      </c>
      <c r="F110" s="194" t="s">
        <v>108</v>
      </c>
      <c r="G110" s="194" t="s">
        <v>108</v>
      </c>
      <c r="H110" s="182">
        <f>SUM(J110:W110)-K110</f>
        <v>0</v>
      </c>
      <c r="I110" s="195"/>
      <c r="J110" s="182"/>
      <c r="K110" s="196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>
        <f>SUM(L110:W110)</f>
        <v>0</v>
      </c>
      <c r="Y110" s="197"/>
    </row>
    <row r="111" spans="1:25" s="218" customFormat="1" ht="30.75" customHeight="1">
      <c r="A111" s="188"/>
      <c r="B111" s="216"/>
      <c r="C111" s="180"/>
      <c r="D111" s="180" t="s">
        <v>159</v>
      </c>
      <c r="E111" s="194" t="s">
        <v>108</v>
      </c>
      <c r="F111" s="194" t="s">
        <v>108</v>
      </c>
      <c r="G111" s="194" t="s">
        <v>108</v>
      </c>
      <c r="H111" s="182">
        <f>SUM(J111:W111)-K111</f>
        <v>600000</v>
      </c>
      <c r="I111" s="195"/>
      <c r="J111" s="182"/>
      <c r="K111" s="196"/>
      <c r="L111" s="182"/>
      <c r="M111" s="182"/>
      <c r="N111" s="182"/>
      <c r="O111" s="182"/>
      <c r="P111" s="182">
        <v>300000</v>
      </c>
      <c r="Q111" s="182">
        <v>300000</v>
      </c>
      <c r="R111" s="182"/>
      <c r="S111" s="182"/>
      <c r="T111" s="182"/>
      <c r="U111" s="182"/>
      <c r="V111" s="182"/>
      <c r="W111" s="182"/>
      <c r="X111" s="182">
        <f>SUM(L111:W111)</f>
        <v>600000</v>
      </c>
      <c r="Y111" s="197"/>
    </row>
    <row r="112" spans="1:25" s="218" customFormat="1" ht="30.75" customHeight="1">
      <c r="A112" s="188"/>
      <c r="B112" s="216"/>
      <c r="C112" s="161" t="s">
        <v>223</v>
      </c>
      <c r="D112" s="173" t="s">
        <v>224</v>
      </c>
      <c r="E112" s="160" t="s">
        <v>108</v>
      </c>
      <c r="F112" s="160">
        <v>2005</v>
      </c>
      <c r="G112" s="160">
        <v>2015</v>
      </c>
      <c r="H112" s="174">
        <f>SUM(J112:W112)-K112</f>
        <v>433245</v>
      </c>
      <c r="I112" s="175">
        <f>K112/J112*100</f>
        <v>0</v>
      </c>
      <c r="J112" s="191">
        <f>J113+J114</f>
        <v>92905</v>
      </c>
      <c r="K112" s="192">
        <f>K113+K114</f>
        <v>0</v>
      </c>
      <c r="L112" s="191">
        <f>L113+L114</f>
        <v>95000</v>
      </c>
      <c r="M112" s="191">
        <f>M113+M114</f>
        <v>95000</v>
      </c>
      <c r="N112" s="191">
        <f>N113+N114</f>
        <v>95000</v>
      </c>
      <c r="O112" s="191">
        <f>O113+O114</f>
        <v>55340</v>
      </c>
      <c r="P112" s="191">
        <f>P113+P114</f>
        <v>0</v>
      </c>
      <c r="Q112" s="191">
        <f>Q113+Q114</f>
        <v>0</v>
      </c>
      <c r="R112" s="191">
        <f>R113+R114</f>
        <v>0</v>
      </c>
      <c r="S112" s="191">
        <f>S113+S114</f>
        <v>0</v>
      </c>
      <c r="T112" s="191">
        <f>T113+T114</f>
        <v>0</v>
      </c>
      <c r="U112" s="191">
        <f>U113+U114</f>
        <v>0</v>
      </c>
      <c r="V112" s="191">
        <f>V113+V114</f>
        <v>0</v>
      </c>
      <c r="W112" s="191">
        <f>W113+W114</f>
        <v>0</v>
      </c>
      <c r="X112" s="191">
        <f>X113+X114</f>
        <v>340340</v>
      </c>
      <c r="Y112" s="197"/>
    </row>
    <row r="113" spans="1:25" s="218" customFormat="1" ht="30.75" customHeight="1">
      <c r="A113" s="188"/>
      <c r="B113" s="216"/>
      <c r="C113" s="180"/>
      <c r="D113" s="201" t="s">
        <v>150</v>
      </c>
      <c r="E113" s="194" t="s">
        <v>108</v>
      </c>
      <c r="F113" s="194" t="s">
        <v>108</v>
      </c>
      <c r="G113" s="194" t="s">
        <v>108</v>
      </c>
      <c r="H113" s="182">
        <f>SUM(J113:W113)-K113</f>
        <v>0</v>
      </c>
      <c r="I113" s="195"/>
      <c r="J113" s="182"/>
      <c r="K113" s="196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>
        <f>SUM(L113:W113)</f>
        <v>0</v>
      </c>
      <c r="Y113" s="197"/>
    </row>
    <row r="114" spans="1:25" s="218" customFormat="1" ht="30.75" customHeight="1">
      <c r="A114" s="188"/>
      <c r="B114" s="216"/>
      <c r="C114" s="180"/>
      <c r="D114" s="180" t="s">
        <v>159</v>
      </c>
      <c r="E114" s="194" t="s">
        <v>108</v>
      </c>
      <c r="F114" s="194" t="s">
        <v>108</v>
      </c>
      <c r="G114" s="194" t="s">
        <v>108</v>
      </c>
      <c r="H114" s="182">
        <f>SUM(J114:W114)-K114</f>
        <v>433245</v>
      </c>
      <c r="I114" s="195">
        <f>K114/J114*100</f>
        <v>0</v>
      </c>
      <c r="J114" s="182">
        <v>92905</v>
      </c>
      <c r="K114" s="196">
        <v>0</v>
      </c>
      <c r="L114" s="182">
        <v>95000</v>
      </c>
      <c r="M114" s="182">
        <v>95000</v>
      </c>
      <c r="N114" s="182">
        <v>95000</v>
      </c>
      <c r="O114" s="182">
        <v>55340</v>
      </c>
      <c r="P114" s="182"/>
      <c r="Q114" s="182"/>
      <c r="R114" s="182"/>
      <c r="S114" s="182"/>
      <c r="T114" s="182"/>
      <c r="U114" s="182"/>
      <c r="V114" s="182"/>
      <c r="W114" s="182"/>
      <c r="X114" s="182">
        <f>SUM(L114:W114)</f>
        <v>340340</v>
      </c>
      <c r="Y114" s="197"/>
    </row>
    <row r="115" spans="1:25" s="219" customFormat="1" ht="48.75">
      <c r="A115" s="188"/>
      <c r="B115" s="216"/>
      <c r="C115" s="222" t="s">
        <v>225</v>
      </c>
      <c r="D115" s="190" t="s">
        <v>226</v>
      </c>
      <c r="E115" s="160" t="s">
        <v>108</v>
      </c>
      <c r="F115" s="160">
        <v>2013</v>
      </c>
      <c r="G115" s="160">
        <v>2015</v>
      </c>
      <c r="H115" s="174">
        <f>SUM(J115:W115)-K115</f>
        <v>840000</v>
      </c>
      <c r="I115" s="175"/>
      <c r="J115" s="191">
        <f>J116+J117</f>
        <v>0</v>
      </c>
      <c r="K115" s="192"/>
      <c r="L115" s="191">
        <f>L116+L117</f>
        <v>0</v>
      </c>
      <c r="M115" s="191">
        <f>M116+M117</f>
        <v>40000</v>
      </c>
      <c r="N115" s="191">
        <f>N116+N117</f>
        <v>400000</v>
      </c>
      <c r="O115" s="191">
        <f>O116+O117</f>
        <v>400000</v>
      </c>
      <c r="P115" s="191">
        <f>P116+P117</f>
        <v>0</v>
      </c>
      <c r="Q115" s="191">
        <f>Q116+Q117</f>
        <v>0</v>
      </c>
      <c r="R115" s="191">
        <f>R116+R117</f>
        <v>0</v>
      </c>
      <c r="S115" s="191">
        <f>S116+S117</f>
        <v>0</v>
      </c>
      <c r="T115" s="191">
        <f>T116+T117</f>
        <v>0</v>
      </c>
      <c r="U115" s="191">
        <f>U116+U117</f>
        <v>0</v>
      </c>
      <c r="V115" s="191">
        <f>V116+V117</f>
        <v>0</v>
      </c>
      <c r="W115" s="191">
        <f>W116+W117</f>
        <v>0</v>
      </c>
      <c r="X115" s="191">
        <f>X116+X117</f>
        <v>840000</v>
      </c>
      <c r="Y115" s="204"/>
    </row>
    <row r="116" spans="1:25" s="218" customFormat="1" ht="30.75" customHeight="1">
      <c r="A116" s="188"/>
      <c r="B116" s="216"/>
      <c r="C116" s="215"/>
      <c r="D116" s="201" t="s">
        <v>150</v>
      </c>
      <c r="E116" s="194" t="s">
        <v>108</v>
      </c>
      <c r="F116" s="194" t="s">
        <v>108</v>
      </c>
      <c r="G116" s="194" t="s">
        <v>108</v>
      </c>
      <c r="H116" s="182"/>
      <c r="I116" s="195"/>
      <c r="J116" s="182"/>
      <c r="K116" s="196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>
        <f>SUM(L116:W116)</f>
        <v>0</v>
      </c>
      <c r="Y116" s="197"/>
    </row>
    <row r="117" spans="1:25" s="218" customFormat="1" ht="30.75" customHeight="1">
      <c r="A117" s="188"/>
      <c r="B117" s="216"/>
      <c r="C117" s="215"/>
      <c r="D117" s="180" t="s">
        <v>159</v>
      </c>
      <c r="E117" s="194" t="s">
        <v>108</v>
      </c>
      <c r="F117" s="194" t="s">
        <v>108</v>
      </c>
      <c r="G117" s="194" t="s">
        <v>108</v>
      </c>
      <c r="H117" s="182">
        <f>SUM(J117:W117)-K117</f>
        <v>840000</v>
      </c>
      <c r="I117" s="195"/>
      <c r="J117" s="182"/>
      <c r="K117" s="196"/>
      <c r="L117" s="182"/>
      <c r="M117" s="182">
        <v>40000</v>
      </c>
      <c r="N117" s="182">
        <v>400000</v>
      </c>
      <c r="O117" s="182">
        <v>400000</v>
      </c>
      <c r="P117" s="182"/>
      <c r="Q117" s="182"/>
      <c r="R117" s="182"/>
      <c r="S117" s="182"/>
      <c r="T117" s="182"/>
      <c r="U117" s="182"/>
      <c r="V117" s="182"/>
      <c r="W117" s="182"/>
      <c r="X117" s="182">
        <f>SUM(L117:W117)</f>
        <v>840000</v>
      </c>
      <c r="Y117" s="197"/>
    </row>
    <row r="118" spans="1:25" s="218" customFormat="1" ht="48.75">
      <c r="A118" s="188"/>
      <c r="B118" s="216"/>
      <c r="C118" s="222" t="s">
        <v>227</v>
      </c>
      <c r="D118" s="173" t="s">
        <v>228</v>
      </c>
      <c r="E118" s="160" t="s">
        <v>108</v>
      </c>
      <c r="F118" s="160">
        <v>2011</v>
      </c>
      <c r="G118" s="160">
        <v>2015</v>
      </c>
      <c r="H118" s="174">
        <f>SUM(J118:W118)-K118</f>
        <v>1951250</v>
      </c>
      <c r="I118" s="223">
        <f>K118/J118*100</f>
        <v>0</v>
      </c>
      <c r="J118" s="191">
        <f>J119+J120</f>
        <v>235000</v>
      </c>
      <c r="K118" s="224">
        <f>K119+K120</f>
        <v>0</v>
      </c>
      <c r="L118" s="191">
        <f>L119+L120</f>
        <v>576250</v>
      </c>
      <c r="M118" s="191">
        <f>M119+M120</f>
        <v>400000</v>
      </c>
      <c r="N118" s="191">
        <f>N119+N120</f>
        <v>380000</v>
      </c>
      <c r="O118" s="191">
        <f>O119+O120</f>
        <v>360000</v>
      </c>
      <c r="P118" s="191">
        <f>P119+P120</f>
        <v>0</v>
      </c>
      <c r="Q118" s="191">
        <f>Q119+Q120</f>
        <v>0</v>
      </c>
      <c r="R118" s="191">
        <f>R119+R120</f>
        <v>0</v>
      </c>
      <c r="S118" s="191">
        <f>S119+S120</f>
        <v>0</v>
      </c>
      <c r="T118" s="191">
        <f>T119+T120</f>
        <v>0</v>
      </c>
      <c r="U118" s="191">
        <f>U119+U120</f>
        <v>0</v>
      </c>
      <c r="V118" s="191">
        <f>V119+V120</f>
        <v>0</v>
      </c>
      <c r="W118" s="191">
        <f>W119+W120</f>
        <v>0</v>
      </c>
      <c r="X118" s="191">
        <f>X119+X120</f>
        <v>1716250</v>
      </c>
      <c r="Y118" s="197"/>
    </row>
    <row r="119" spans="1:25" s="218" customFormat="1" ht="30.75" customHeight="1">
      <c r="A119" s="188"/>
      <c r="B119" s="216"/>
      <c r="C119" s="180"/>
      <c r="D119" s="201" t="s">
        <v>150</v>
      </c>
      <c r="E119" s="194" t="s">
        <v>108</v>
      </c>
      <c r="F119" s="194" t="s">
        <v>108</v>
      </c>
      <c r="G119" s="160" t="s">
        <v>108</v>
      </c>
      <c r="H119" s="182"/>
      <c r="I119" s="225"/>
      <c r="J119" s="182"/>
      <c r="K119" s="226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>
        <f>SUM(H119:V119)</f>
        <v>0</v>
      </c>
      <c r="X119" s="182">
        <f>SUM(L119:W119)</f>
        <v>0</v>
      </c>
      <c r="Y119" s="197"/>
    </row>
    <row r="120" spans="1:25" s="218" customFormat="1" ht="30.75" customHeight="1">
      <c r="A120" s="188"/>
      <c r="B120" s="216"/>
      <c r="C120" s="180"/>
      <c r="D120" s="180" t="s">
        <v>159</v>
      </c>
      <c r="E120" s="194" t="s">
        <v>108</v>
      </c>
      <c r="F120" s="194" t="s">
        <v>108</v>
      </c>
      <c r="G120" s="194" t="s">
        <v>108</v>
      </c>
      <c r="H120" s="182">
        <f>SUM(J120:W120)-K120</f>
        <v>1951250</v>
      </c>
      <c r="I120" s="225">
        <f>K120/J120*100</f>
        <v>0</v>
      </c>
      <c r="J120" s="182">
        <v>235000</v>
      </c>
      <c r="K120" s="226">
        <v>0</v>
      </c>
      <c r="L120" s="182">
        <f>416250+160000</f>
        <v>576250</v>
      </c>
      <c r="M120" s="182">
        <v>400000</v>
      </c>
      <c r="N120" s="182">
        <v>380000</v>
      </c>
      <c r="O120" s="182">
        <v>360000</v>
      </c>
      <c r="P120" s="182"/>
      <c r="Q120" s="182"/>
      <c r="R120" s="182"/>
      <c r="S120" s="182"/>
      <c r="T120" s="182"/>
      <c r="U120" s="182"/>
      <c r="V120" s="182"/>
      <c r="W120" s="182"/>
      <c r="X120" s="182">
        <f>SUM(L120:W120)</f>
        <v>1716250</v>
      </c>
      <c r="Y120" s="197"/>
    </row>
    <row r="121" spans="1:25" s="218" customFormat="1" ht="27">
      <c r="A121" s="188"/>
      <c r="B121" s="216"/>
      <c r="C121" s="161" t="s">
        <v>229</v>
      </c>
      <c r="D121" s="173" t="s">
        <v>230</v>
      </c>
      <c r="E121" s="160" t="s">
        <v>108</v>
      </c>
      <c r="F121" s="160">
        <v>2014</v>
      </c>
      <c r="G121" s="160">
        <v>2015</v>
      </c>
      <c r="H121" s="174">
        <f>SUM(J121:W121)-K121</f>
        <v>5000000</v>
      </c>
      <c r="I121" s="175"/>
      <c r="J121" s="191">
        <f>J122+J123</f>
        <v>0</v>
      </c>
      <c r="K121" s="192"/>
      <c r="L121" s="191">
        <f>L122+L123</f>
        <v>0</v>
      </c>
      <c r="M121" s="191">
        <f>M122+M123</f>
        <v>0</v>
      </c>
      <c r="N121" s="191">
        <f>N122+N123</f>
        <v>1000000</v>
      </c>
      <c r="O121" s="191">
        <f>O122+O123</f>
        <v>4000000</v>
      </c>
      <c r="P121" s="191">
        <f>P122+P123</f>
        <v>0</v>
      </c>
      <c r="Q121" s="191">
        <f>Q122+Q123</f>
        <v>0</v>
      </c>
      <c r="R121" s="191">
        <f>R122+R123</f>
        <v>0</v>
      </c>
      <c r="S121" s="191">
        <f>S122+S123</f>
        <v>0</v>
      </c>
      <c r="T121" s="191">
        <f>T122+T123</f>
        <v>0</v>
      </c>
      <c r="U121" s="191">
        <f>U122+U123</f>
        <v>0</v>
      </c>
      <c r="V121" s="191">
        <f>V122+V123</f>
        <v>0</v>
      </c>
      <c r="W121" s="191">
        <f>W122+W123</f>
        <v>0</v>
      </c>
      <c r="X121" s="191">
        <f>X122+X123</f>
        <v>5000000</v>
      </c>
      <c r="Y121" s="197"/>
    </row>
    <row r="122" spans="1:25" s="218" customFormat="1" ht="30.75" customHeight="1">
      <c r="A122" s="188"/>
      <c r="B122" s="216"/>
      <c r="C122" s="180"/>
      <c r="D122" s="201" t="s">
        <v>150</v>
      </c>
      <c r="E122" s="194" t="s">
        <v>108</v>
      </c>
      <c r="F122" s="194" t="s">
        <v>108</v>
      </c>
      <c r="G122" s="194" t="s">
        <v>108</v>
      </c>
      <c r="H122" s="182">
        <f>SUM(J122:W122)-K122</f>
        <v>0</v>
      </c>
      <c r="I122" s="195"/>
      <c r="J122" s="182"/>
      <c r="K122" s="196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>
        <f>SUM(L122:W122)</f>
        <v>0</v>
      </c>
      <c r="Y122" s="197"/>
    </row>
    <row r="123" spans="1:25" s="218" customFormat="1" ht="30.75" customHeight="1">
      <c r="A123" s="188"/>
      <c r="B123" s="216"/>
      <c r="C123" s="180"/>
      <c r="D123" s="180" t="s">
        <v>159</v>
      </c>
      <c r="E123" s="194" t="s">
        <v>108</v>
      </c>
      <c r="F123" s="194" t="s">
        <v>108</v>
      </c>
      <c r="G123" s="194" t="s">
        <v>108</v>
      </c>
      <c r="H123" s="182">
        <f>SUM(J123:W123)-K123</f>
        <v>5000000</v>
      </c>
      <c r="I123" s="195"/>
      <c r="J123" s="182"/>
      <c r="K123" s="196"/>
      <c r="L123" s="182"/>
      <c r="M123" s="182"/>
      <c r="N123" s="182">
        <v>1000000</v>
      </c>
      <c r="O123" s="182">
        <v>4000000</v>
      </c>
      <c r="P123" s="182"/>
      <c r="Q123" s="182"/>
      <c r="R123" s="182"/>
      <c r="S123" s="182"/>
      <c r="T123" s="182"/>
      <c r="U123" s="182"/>
      <c r="V123" s="182"/>
      <c r="W123" s="182"/>
      <c r="X123" s="182">
        <f>SUM(L123:W123)</f>
        <v>5000000</v>
      </c>
      <c r="Y123" s="197"/>
    </row>
    <row r="124" spans="1:25" s="219" customFormat="1" ht="27">
      <c r="A124" s="214"/>
      <c r="B124" s="216"/>
      <c r="C124" s="161" t="s">
        <v>231</v>
      </c>
      <c r="D124" s="203" t="s">
        <v>232</v>
      </c>
      <c r="E124" s="194" t="s">
        <v>108</v>
      </c>
      <c r="F124" s="160">
        <v>2012</v>
      </c>
      <c r="G124" s="160">
        <v>2013</v>
      </c>
      <c r="H124" s="174">
        <f>SUM(J124:W124)-K124</f>
        <v>140000</v>
      </c>
      <c r="I124" s="195"/>
      <c r="J124" s="191">
        <f>J125+J126</f>
        <v>0</v>
      </c>
      <c r="K124" s="192"/>
      <c r="L124" s="191">
        <f>L125+L126</f>
        <v>5000</v>
      </c>
      <c r="M124" s="191">
        <f>M125+M126</f>
        <v>135000</v>
      </c>
      <c r="N124" s="191">
        <f>N125+N126</f>
        <v>0</v>
      </c>
      <c r="O124" s="191">
        <f>O125+O126</f>
        <v>0</v>
      </c>
      <c r="P124" s="191">
        <f>P125+P126</f>
        <v>0</v>
      </c>
      <c r="Q124" s="191">
        <f>Q125+Q126</f>
        <v>0</v>
      </c>
      <c r="R124" s="191">
        <f>R125+R126</f>
        <v>0</v>
      </c>
      <c r="S124" s="191">
        <f>S125+S126</f>
        <v>0</v>
      </c>
      <c r="T124" s="191">
        <f>T125+T126</f>
        <v>0</v>
      </c>
      <c r="U124" s="191">
        <f>U125+U126</f>
        <v>0</v>
      </c>
      <c r="V124" s="191">
        <f>V125+V126</f>
        <v>0</v>
      </c>
      <c r="W124" s="191">
        <f>W125+W126</f>
        <v>0</v>
      </c>
      <c r="X124" s="191">
        <f>X125+X126</f>
        <v>140000</v>
      </c>
      <c r="Y124" s="204"/>
    </row>
    <row r="125" spans="1:25" s="218" customFormat="1" ht="30.75" customHeight="1">
      <c r="A125" s="188"/>
      <c r="B125" s="216"/>
      <c r="C125" s="167"/>
      <c r="D125" s="201" t="s">
        <v>150</v>
      </c>
      <c r="E125" s="194" t="s">
        <v>108</v>
      </c>
      <c r="F125" s="194" t="s">
        <v>108</v>
      </c>
      <c r="G125" s="194" t="s">
        <v>108</v>
      </c>
      <c r="H125" s="182">
        <f>SUM(J125:W125)-K125</f>
        <v>0</v>
      </c>
      <c r="I125" s="195"/>
      <c r="J125" s="182"/>
      <c r="K125" s="196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>
        <f>SUM(L125:W125)</f>
        <v>0</v>
      </c>
      <c r="Y125" s="197"/>
    </row>
    <row r="126" spans="1:25" s="218" customFormat="1" ht="30.75" customHeight="1">
      <c r="A126" s="188"/>
      <c r="B126" s="221"/>
      <c r="C126" s="167"/>
      <c r="D126" s="180" t="s">
        <v>159</v>
      </c>
      <c r="E126" s="194" t="s">
        <v>108</v>
      </c>
      <c r="F126" s="194" t="s">
        <v>108</v>
      </c>
      <c r="G126" s="194" t="s">
        <v>108</v>
      </c>
      <c r="H126" s="182">
        <f>SUM(J126:W126)-K126</f>
        <v>140000</v>
      </c>
      <c r="I126" s="225"/>
      <c r="J126" s="182"/>
      <c r="K126" s="226"/>
      <c r="L126" s="182">
        <v>5000</v>
      </c>
      <c r="M126" s="182">
        <v>135000</v>
      </c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>
        <f>SUM(L126:W126)</f>
        <v>140000</v>
      </c>
      <c r="Y126" s="197"/>
    </row>
    <row r="127" spans="1:25" s="220" customFormat="1" ht="95.25" customHeight="1">
      <c r="A127" s="188"/>
      <c r="B127" s="161" t="s">
        <v>173</v>
      </c>
      <c r="C127" s="173" t="s">
        <v>174</v>
      </c>
      <c r="D127" s="173"/>
      <c r="E127" s="160" t="s">
        <v>162</v>
      </c>
      <c r="F127" s="161" t="s">
        <v>108</v>
      </c>
      <c r="G127" s="161" t="s">
        <v>108</v>
      </c>
      <c r="H127" s="174">
        <f>SUM(J127:W127)-K127</f>
        <v>21972004.3697824</v>
      </c>
      <c r="I127" s="175">
        <f>K127/J127*100</f>
        <v>49.13375837939721</v>
      </c>
      <c r="J127" s="191">
        <f>J128+J129</f>
        <v>1387928</v>
      </c>
      <c r="K127" s="192">
        <f>K128+K129</f>
        <v>681941.1900000001</v>
      </c>
      <c r="L127" s="191">
        <f>L128+L129</f>
        <v>1500941</v>
      </c>
      <c r="M127" s="191">
        <f>M128+M129</f>
        <v>1538188.5</v>
      </c>
      <c r="N127" s="191">
        <f>N128+N129</f>
        <v>1567326.1875</v>
      </c>
      <c r="O127" s="191">
        <f>O128+O129</f>
        <v>1606459.3421875</v>
      </c>
      <c r="P127" s="191">
        <f>P128+P129</f>
        <v>1646570.8257421877</v>
      </c>
      <c r="Q127" s="191">
        <f>Q128+Q129</f>
        <v>1687685.0963857423</v>
      </c>
      <c r="R127" s="191">
        <f>R128+R129</f>
        <v>1727827.2237953856</v>
      </c>
      <c r="S127" s="191">
        <f>S128+S129</f>
        <v>1771022.9043902704</v>
      </c>
      <c r="T127" s="191">
        <f>T128+T129</f>
        <v>1815298.477000027</v>
      </c>
      <c r="U127" s="191">
        <f>U128+U129</f>
        <v>1860680.9389250278</v>
      </c>
      <c r="V127" s="191">
        <f>V128+V129</f>
        <v>1907197.9623981533</v>
      </c>
      <c r="W127" s="191">
        <f>W128+W129</f>
        <v>1954877.9114581072</v>
      </c>
      <c r="X127" s="191">
        <f>X128+X129</f>
        <v>20584076.369782403</v>
      </c>
      <c r="Y127" s="193"/>
    </row>
    <row r="128" spans="1:25" s="219" customFormat="1" ht="30.75" customHeight="1">
      <c r="A128" s="188"/>
      <c r="B128" s="216"/>
      <c r="C128" s="173" t="s">
        <v>175</v>
      </c>
      <c r="D128" s="173"/>
      <c r="E128" s="161" t="s">
        <v>108</v>
      </c>
      <c r="F128" s="161" t="s">
        <v>108</v>
      </c>
      <c r="G128" s="161" t="s">
        <v>108</v>
      </c>
      <c r="H128" s="174">
        <f>SUM(J128:W128)-K128</f>
        <v>21972004.3697824</v>
      </c>
      <c r="I128" s="195">
        <f>K128/J128*100</f>
        <v>49.13375837939721</v>
      </c>
      <c r="J128" s="191">
        <f>J132+J135+J141+J144+J150+J138+J147</f>
        <v>1387928</v>
      </c>
      <c r="K128" s="191">
        <f>K132+K135+K141+K144+K150+K138+K147</f>
        <v>681941.1900000001</v>
      </c>
      <c r="L128" s="191">
        <f>L132+L135+L141+L144+L150+L138+L147</f>
        <v>1500941</v>
      </c>
      <c r="M128" s="191">
        <f>M132+M135+M141+M144+M150+M138+M147</f>
        <v>1538188.5</v>
      </c>
      <c r="N128" s="191">
        <f>N132+N135+N141+N144+N150+N138+N147</f>
        <v>1567326.1875</v>
      </c>
      <c r="O128" s="191">
        <f>O132+O135+O141+O144+O150+O138+O147</f>
        <v>1606459.3421875</v>
      </c>
      <c r="P128" s="191">
        <f>P132+P135+P141+P144+P150+P138+P147</f>
        <v>1646570.8257421877</v>
      </c>
      <c r="Q128" s="191">
        <f>Q132+Q135+Q141+Q144+Q150+Q138+Q147</f>
        <v>1687685.0963857423</v>
      </c>
      <c r="R128" s="191">
        <f>R132+R135+R141+R144+R150+R138+R147</f>
        <v>1727827.2237953856</v>
      </c>
      <c r="S128" s="191">
        <f>S132+S135+S141+S144+S150+S138+S147</f>
        <v>1771022.9043902704</v>
      </c>
      <c r="T128" s="191">
        <f>T132+T135+T141+T144+T150+T138+T147</f>
        <v>1815298.477000027</v>
      </c>
      <c r="U128" s="191">
        <f>U132+U135+U141+U144+U150+U138+U147</f>
        <v>1860680.9389250278</v>
      </c>
      <c r="V128" s="191">
        <f>V132+V135+V141+V144+V150+V138+V147</f>
        <v>1907197.9623981533</v>
      </c>
      <c r="W128" s="191">
        <f>W132+W135+W141+W144+W150+W138+W147</f>
        <v>1954877.9114581072</v>
      </c>
      <c r="X128" s="174">
        <f>SUM(L128:W128)</f>
        <v>20584076.369782403</v>
      </c>
      <c r="Y128" s="193"/>
    </row>
    <row r="129" spans="1:25" s="219" customFormat="1" ht="30.75" customHeight="1">
      <c r="A129" s="188"/>
      <c r="B129" s="216"/>
      <c r="C129" s="173" t="s">
        <v>151</v>
      </c>
      <c r="D129" s="173"/>
      <c r="E129" s="161" t="s">
        <v>108</v>
      </c>
      <c r="F129" s="161" t="s">
        <v>108</v>
      </c>
      <c r="G129" s="161" t="s">
        <v>108</v>
      </c>
      <c r="H129" s="182">
        <f>SUM(J129:W129)-K129</f>
        <v>0</v>
      </c>
      <c r="I129" s="195"/>
      <c r="J129" s="191">
        <f>J133+J136+J142+J145+J151+J139+J148</f>
        <v>0</v>
      </c>
      <c r="K129" s="191">
        <f>K133+K136+K142+K145+K151+K139+K148</f>
        <v>0</v>
      </c>
      <c r="L129" s="191">
        <f>L133+L136+L142+L145+L151+L139+L148</f>
        <v>0</v>
      </c>
      <c r="M129" s="191">
        <f>M133+M136+M142+M145+M151+M139+M148</f>
        <v>0</v>
      </c>
      <c r="N129" s="191">
        <f>N133+N136+N142+N145+N151+N139+N148</f>
        <v>0</v>
      </c>
      <c r="O129" s="191">
        <f>O133+O136+O142+O145+O151+O139+O148</f>
        <v>0</v>
      </c>
      <c r="P129" s="191">
        <f>P133+P136+P142+P145+P151+P139+P148</f>
        <v>0</v>
      </c>
      <c r="Q129" s="191">
        <f>Q133+Q136+Q142+Q145+Q151+Q139+Q148</f>
        <v>0</v>
      </c>
      <c r="R129" s="191">
        <f>R133+R136+R142+R145+R151+R139+R148</f>
        <v>0</v>
      </c>
      <c r="S129" s="191">
        <f>S133+S136+S142+S145+S151+S139+S148</f>
        <v>0</v>
      </c>
      <c r="T129" s="191">
        <f>T133+T136+T142+T145+T151+T139+T148</f>
        <v>0</v>
      </c>
      <c r="U129" s="191">
        <f>U133+U136+U142+U145+U151+U139+U148</f>
        <v>0</v>
      </c>
      <c r="V129" s="191">
        <f>V133+V136+V142+V145+V151+V139+V148</f>
        <v>0</v>
      </c>
      <c r="W129" s="191">
        <f>W133+W136+W142+W145+W151+W139+W148</f>
        <v>0</v>
      </c>
      <c r="X129" s="182">
        <f>SUM(L129:W129)</f>
        <v>0</v>
      </c>
      <c r="Y129" s="193"/>
    </row>
    <row r="130" spans="1:25" s="217" customFormat="1" ht="28.5" customHeight="1">
      <c r="A130" s="188"/>
      <c r="B130" s="216"/>
      <c r="C130" s="180" t="s">
        <v>155</v>
      </c>
      <c r="D130" s="180"/>
      <c r="E130" s="180"/>
      <c r="F130" s="180"/>
      <c r="G130" s="180"/>
      <c r="H130" s="182"/>
      <c r="I130" s="195"/>
      <c r="J130" s="180"/>
      <c r="K130" s="181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2">
        <f>SUM(L130:W130)</f>
        <v>0</v>
      </c>
      <c r="Y130" s="183"/>
    </row>
    <row r="131" spans="1:25" s="220" customFormat="1" ht="30.75" customHeight="1">
      <c r="A131" s="188"/>
      <c r="B131" s="216"/>
      <c r="C131" s="161" t="s">
        <v>156</v>
      </c>
      <c r="D131" s="190" t="s">
        <v>233</v>
      </c>
      <c r="E131" s="160" t="s">
        <v>108</v>
      </c>
      <c r="F131" s="160">
        <v>2009</v>
      </c>
      <c r="G131" s="160">
        <v>2023</v>
      </c>
      <c r="H131" s="174">
        <f>SUM(J131:W131)-K131</f>
        <v>5532653.241464838</v>
      </c>
      <c r="I131" s="175">
        <f>K131/J131*100</f>
        <v>49.777123333333336</v>
      </c>
      <c r="J131" s="191">
        <f>J132+J133</f>
        <v>300000</v>
      </c>
      <c r="K131" s="192">
        <f>K132+K133</f>
        <v>149331.37</v>
      </c>
      <c r="L131" s="191">
        <f>L132+L133</f>
        <v>379300</v>
      </c>
      <c r="M131" s="191">
        <f>M132+M133</f>
        <v>388782.5</v>
      </c>
      <c r="N131" s="191">
        <f>N132+N133</f>
        <v>398502.0625</v>
      </c>
      <c r="O131" s="191">
        <f>O132+O133</f>
        <v>408464.6140625</v>
      </c>
      <c r="P131" s="191">
        <f>P132+P133</f>
        <v>418676.2294140625</v>
      </c>
      <c r="Q131" s="191">
        <f>Q132+Q133</f>
        <v>429143.13514941407</v>
      </c>
      <c r="R131" s="191">
        <f>R132+R133</f>
        <v>439871.7135281494</v>
      </c>
      <c r="S131" s="191">
        <f>S132+S133</f>
        <v>450868.50636635313</v>
      </c>
      <c r="T131" s="191">
        <f>T132+T133</f>
        <v>462140.21902551193</v>
      </c>
      <c r="U131" s="191">
        <f>U132+U133</f>
        <v>473693.7245011497</v>
      </c>
      <c r="V131" s="191">
        <f>V132+V133</f>
        <v>485536.06761367846</v>
      </c>
      <c r="W131" s="191">
        <f>W132+W133</f>
        <v>497674.4693040204</v>
      </c>
      <c r="X131" s="174">
        <f>SUM(L131:W131)</f>
        <v>5232653.241464839</v>
      </c>
      <c r="Y131" s="193"/>
    </row>
    <row r="132" spans="1:25" s="217" customFormat="1" ht="30.75" customHeight="1">
      <c r="A132" s="188"/>
      <c r="B132" s="216"/>
      <c r="C132" s="180"/>
      <c r="D132" s="180" t="s">
        <v>150</v>
      </c>
      <c r="E132" s="194" t="s">
        <v>108</v>
      </c>
      <c r="F132" s="194" t="s">
        <v>108</v>
      </c>
      <c r="G132" s="194" t="s">
        <v>108</v>
      </c>
      <c r="H132" s="182">
        <f>SUM(J132:W132)-K132</f>
        <v>5532653.241464838</v>
      </c>
      <c r="I132" s="195">
        <f>K132/J132*100</f>
        <v>49.777123333333336</v>
      </c>
      <c r="J132" s="227">
        <v>300000</v>
      </c>
      <c r="K132" s="169">
        <v>149331.37</v>
      </c>
      <c r="L132" s="209">
        <v>379300</v>
      </c>
      <c r="M132" s="209">
        <f>L132*0.025+L132</f>
        <v>388782.5</v>
      </c>
      <c r="N132" s="209">
        <f>M132*0.025+M132</f>
        <v>398502.0625</v>
      </c>
      <c r="O132" s="209">
        <f>N132*0.025+N132</f>
        <v>408464.6140625</v>
      </c>
      <c r="P132" s="209">
        <f>O132*0.025+O132</f>
        <v>418676.2294140625</v>
      </c>
      <c r="Q132" s="209">
        <f>P132*0.025+P132</f>
        <v>429143.13514941407</v>
      </c>
      <c r="R132" s="209">
        <f>Q132*0.025+Q132</f>
        <v>439871.7135281494</v>
      </c>
      <c r="S132" s="209">
        <f>R132*0.025+R132</f>
        <v>450868.50636635313</v>
      </c>
      <c r="T132" s="209">
        <f>S132*0.025+S132</f>
        <v>462140.21902551193</v>
      </c>
      <c r="U132" s="209">
        <f>T132*0.025+T132</f>
        <v>473693.7245011497</v>
      </c>
      <c r="V132" s="209">
        <f>U132*0.025+U132</f>
        <v>485536.06761367846</v>
      </c>
      <c r="W132" s="209">
        <f>V132*0.025+V132</f>
        <v>497674.4693040204</v>
      </c>
      <c r="X132" s="182">
        <f>SUM(L132:W132)</f>
        <v>5232653.241464839</v>
      </c>
      <c r="Y132" s="197"/>
    </row>
    <row r="133" spans="1:25" s="217" customFormat="1" ht="30.75" customHeight="1">
      <c r="A133" s="188"/>
      <c r="B133" s="216"/>
      <c r="C133" s="180"/>
      <c r="D133" s="180" t="s">
        <v>159</v>
      </c>
      <c r="E133" s="194" t="s">
        <v>108</v>
      </c>
      <c r="F133" s="194" t="s">
        <v>108</v>
      </c>
      <c r="G133" s="194" t="s">
        <v>108</v>
      </c>
      <c r="H133" s="174"/>
      <c r="I133" s="195"/>
      <c r="J133" s="227"/>
      <c r="K133" s="169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182">
        <f>SUM(L133:W133)</f>
        <v>0</v>
      </c>
      <c r="Y133" s="197"/>
    </row>
    <row r="134" spans="1:25" s="220" customFormat="1" ht="30.75" customHeight="1">
      <c r="A134" s="188"/>
      <c r="B134" s="216"/>
      <c r="C134" s="161" t="s">
        <v>160</v>
      </c>
      <c r="D134" s="190" t="s">
        <v>234</v>
      </c>
      <c r="E134" s="160" t="s">
        <v>108</v>
      </c>
      <c r="F134" s="160">
        <v>2009</v>
      </c>
      <c r="G134" s="160">
        <v>2023</v>
      </c>
      <c r="H134" s="174">
        <f>SUM(J134:W134)-K134</f>
        <v>5987198.952790035</v>
      </c>
      <c r="I134" s="175">
        <f>K134/J134*100</f>
        <v>50.68566</v>
      </c>
      <c r="J134" s="191">
        <f>J135+J136</f>
        <v>400000</v>
      </c>
      <c r="K134" s="192">
        <f>K135+K136</f>
        <v>202742.64</v>
      </c>
      <c r="L134" s="191">
        <f>L135+L136</f>
        <v>405000</v>
      </c>
      <c r="M134" s="191">
        <f>M135+M136</f>
        <v>415125</v>
      </c>
      <c r="N134" s="191">
        <f>N135+N136</f>
        <v>425503.125</v>
      </c>
      <c r="O134" s="191">
        <f>O135+O136</f>
        <v>436140.703125</v>
      </c>
      <c r="P134" s="191">
        <f>P135+P136</f>
        <v>447044.220703125</v>
      </c>
      <c r="Q134" s="191">
        <f>Q135+Q136</f>
        <v>458220.32622070314</v>
      </c>
      <c r="R134" s="191">
        <f>R135+R136</f>
        <v>469675.8343762207</v>
      </c>
      <c r="S134" s="191">
        <f>S135+S136</f>
        <v>481417.7302356262</v>
      </c>
      <c r="T134" s="191">
        <f>T135+T136</f>
        <v>493453.17349151685</v>
      </c>
      <c r="U134" s="191">
        <f>U135+U136</f>
        <v>505789.5028288048</v>
      </c>
      <c r="V134" s="191">
        <f>V135+V136</f>
        <v>518434.2403995249</v>
      </c>
      <c r="W134" s="191">
        <f>W135+W136</f>
        <v>531395.096409513</v>
      </c>
      <c r="X134" s="174">
        <f>SUM(L134:W134)</f>
        <v>5587198.952790034</v>
      </c>
      <c r="Y134" s="193"/>
    </row>
    <row r="135" spans="1:25" s="217" customFormat="1" ht="30.75" customHeight="1">
      <c r="A135" s="188"/>
      <c r="B135" s="216"/>
      <c r="C135" s="180"/>
      <c r="D135" s="180" t="s">
        <v>150</v>
      </c>
      <c r="E135" s="194" t="s">
        <v>108</v>
      </c>
      <c r="F135" s="194" t="s">
        <v>108</v>
      </c>
      <c r="G135" s="194" t="s">
        <v>108</v>
      </c>
      <c r="H135" s="182">
        <f>SUM(J135:W135)-K135</f>
        <v>5987198.952790035</v>
      </c>
      <c r="I135" s="195">
        <f>K135/J135*100</f>
        <v>50.68566</v>
      </c>
      <c r="J135" s="227">
        <v>400000</v>
      </c>
      <c r="K135" s="169">
        <v>202742.64</v>
      </c>
      <c r="L135" s="209">
        <v>405000</v>
      </c>
      <c r="M135" s="209">
        <f>L135*0.025+L135</f>
        <v>415125</v>
      </c>
      <c r="N135" s="209">
        <f>M135*0.025+M135</f>
        <v>425503.125</v>
      </c>
      <c r="O135" s="209">
        <f>N135*0.025+N135</f>
        <v>436140.703125</v>
      </c>
      <c r="P135" s="209">
        <f>O135*0.025+O135</f>
        <v>447044.220703125</v>
      </c>
      <c r="Q135" s="209">
        <f>P135*0.025+P135</f>
        <v>458220.32622070314</v>
      </c>
      <c r="R135" s="209">
        <f>Q135*0.025+Q135</f>
        <v>469675.8343762207</v>
      </c>
      <c r="S135" s="209">
        <f>R135*0.025+R135</f>
        <v>481417.7302356262</v>
      </c>
      <c r="T135" s="209">
        <f>S135*0.025+S135</f>
        <v>493453.17349151685</v>
      </c>
      <c r="U135" s="209">
        <f>T135*0.025+T135</f>
        <v>505789.5028288048</v>
      </c>
      <c r="V135" s="209">
        <f>U135*0.025+U135</f>
        <v>518434.2403995249</v>
      </c>
      <c r="W135" s="209">
        <f>V135*0.025+V135</f>
        <v>531395.096409513</v>
      </c>
      <c r="X135" s="182">
        <f>SUM(L135:W135)</f>
        <v>5587198.952790034</v>
      </c>
      <c r="Y135" s="197"/>
    </row>
    <row r="136" spans="1:25" s="217" customFormat="1" ht="30.75" customHeight="1">
      <c r="A136" s="188"/>
      <c r="B136" s="216"/>
      <c r="C136" s="180"/>
      <c r="D136" s="180" t="s">
        <v>159</v>
      </c>
      <c r="E136" s="194" t="s">
        <v>108</v>
      </c>
      <c r="F136" s="194" t="s">
        <v>108</v>
      </c>
      <c r="G136" s="194" t="s">
        <v>108</v>
      </c>
      <c r="H136" s="174"/>
      <c r="I136" s="195"/>
      <c r="J136" s="227"/>
      <c r="K136" s="169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182">
        <f>SUM(L136:W136)</f>
        <v>0</v>
      </c>
      <c r="Y136" s="197"/>
    </row>
    <row r="137" spans="1:25" s="217" customFormat="1" ht="56.25" customHeight="1">
      <c r="A137" s="188"/>
      <c r="B137" s="216"/>
      <c r="C137" s="161" t="s">
        <v>163</v>
      </c>
      <c r="D137" s="190" t="s">
        <v>235</v>
      </c>
      <c r="E137" s="194" t="s">
        <v>108</v>
      </c>
      <c r="F137" s="194" t="s">
        <v>108</v>
      </c>
      <c r="G137" s="194" t="s">
        <v>108</v>
      </c>
      <c r="H137" s="174">
        <f>SUM(J137:W137)-K137</f>
        <v>5551609.695476388</v>
      </c>
      <c r="I137" s="175">
        <f>K137/J137*100</f>
        <v>48.60877297297297</v>
      </c>
      <c r="J137" s="191">
        <f>J138+J139</f>
        <v>370000</v>
      </c>
      <c r="K137" s="192">
        <f>K138+K139</f>
        <v>179852.46</v>
      </c>
      <c r="L137" s="191">
        <f>L138+L139</f>
        <v>375600</v>
      </c>
      <c r="M137" s="191">
        <f>M138+M139</f>
        <v>384990</v>
      </c>
      <c r="N137" s="191">
        <f>N138+N139</f>
        <v>394614.75</v>
      </c>
      <c r="O137" s="191">
        <f>O138+O139</f>
        <v>404480.11875</v>
      </c>
      <c r="P137" s="191">
        <f>P138+P139</f>
        <v>414592.12171875004</v>
      </c>
      <c r="Q137" s="191">
        <f>Q138+Q139</f>
        <v>424956.9247617188</v>
      </c>
      <c r="R137" s="191">
        <f>R138+R139</f>
        <v>435580.8478807617</v>
      </c>
      <c r="S137" s="191">
        <f>S138+S139</f>
        <v>446470.36907778075</v>
      </c>
      <c r="T137" s="191">
        <f>T138+T139</f>
        <v>457632.1283047253</v>
      </c>
      <c r="U137" s="191">
        <f>U138+U139</f>
        <v>469072.9315123434</v>
      </c>
      <c r="V137" s="191">
        <f>V138+V139</f>
        <v>480799.754800152</v>
      </c>
      <c r="W137" s="191">
        <f>W138+W139</f>
        <v>492819.74867015576</v>
      </c>
      <c r="X137" s="174">
        <f>SUM(L137:W137)</f>
        <v>5181609.695476388</v>
      </c>
      <c r="Y137" s="193"/>
    </row>
    <row r="138" spans="1:25" s="217" customFormat="1" ht="30.75" customHeight="1">
      <c r="A138" s="188"/>
      <c r="B138" s="216"/>
      <c r="C138" s="180"/>
      <c r="D138" s="180" t="s">
        <v>150</v>
      </c>
      <c r="E138" s="194" t="s">
        <v>108</v>
      </c>
      <c r="F138" s="194">
        <v>2009</v>
      </c>
      <c r="G138" s="194">
        <v>2023</v>
      </c>
      <c r="H138" s="182">
        <f>SUM(J138:W138)-K138</f>
        <v>5551609.695476388</v>
      </c>
      <c r="I138" s="195">
        <f>K138/J138*100</f>
        <v>48.60877297297297</v>
      </c>
      <c r="J138" s="227">
        <v>370000</v>
      </c>
      <c r="K138" s="169">
        <v>179852.46</v>
      </c>
      <c r="L138" s="209">
        <v>375600</v>
      </c>
      <c r="M138" s="209">
        <f>L138*0.025+L138</f>
        <v>384990</v>
      </c>
      <c r="N138" s="209">
        <f>M138*0.025+M138</f>
        <v>394614.75</v>
      </c>
      <c r="O138" s="209">
        <f>N138*0.025+N138</f>
        <v>404480.11875</v>
      </c>
      <c r="P138" s="209">
        <f>O138*0.025+O138</f>
        <v>414592.12171875004</v>
      </c>
      <c r="Q138" s="209">
        <f>P138*0.025+P138</f>
        <v>424956.9247617188</v>
      </c>
      <c r="R138" s="209">
        <f>Q138*0.025+Q138</f>
        <v>435580.8478807617</v>
      </c>
      <c r="S138" s="209">
        <f>R138*0.025+R138</f>
        <v>446470.36907778075</v>
      </c>
      <c r="T138" s="209">
        <f>S138*0.025+S138</f>
        <v>457632.1283047253</v>
      </c>
      <c r="U138" s="209">
        <f>T138*0.025+T138</f>
        <v>469072.9315123434</v>
      </c>
      <c r="V138" s="209">
        <f>U138*0.025+U138</f>
        <v>480799.754800152</v>
      </c>
      <c r="W138" s="209">
        <f>V138*0.025+V138</f>
        <v>492819.74867015576</v>
      </c>
      <c r="X138" s="182">
        <f>SUM(L138:W138)</f>
        <v>5181609.695476388</v>
      </c>
      <c r="Y138" s="197"/>
    </row>
    <row r="139" spans="1:25" s="217" customFormat="1" ht="30.75" customHeight="1">
      <c r="A139" s="188"/>
      <c r="B139" s="216"/>
      <c r="C139" s="180"/>
      <c r="D139" s="180" t="s">
        <v>159</v>
      </c>
      <c r="E139" s="194" t="s">
        <v>108</v>
      </c>
      <c r="F139" s="194" t="s">
        <v>108</v>
      </c>
      <c r="G139" s="194" t="s">
        <v>108</v>
      </c>
      <c r="H139" s="174"/>
      <c r="I139" s="195"/>
      <c r="J139" s="227"/>
      <c r="K139" s="169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182">
        <f>SUM(L139:W139)</f>
        <v>0</v>
      </c>
      <c r="Y139" s="197"/>
    </row>
    <row r="140" spans="1:25" s="218" customFormat="1" ht="30.75" customHeight="1">
      <c r="A140" s="188"/>
      <c r="B140" s="216"/>
      <c r="C140" s="161" t="s">
        <v>165</v>
      </c>
      <c r="D140" s="190" t="s">
        <v>236</v>
      </c>
      <c r="E140" s="194" t="s">
        <v>108</v>
      </c>
      <c r="F140" s="194" t="s">
        <v>108</v>
      </c>
      <c r="G140" s="194" t="s">
        <v>108</v>
      </c>
      <c r="H140" s="174">
        <f>SUM(J140:W140)-K140</f>
        <v>3671888.2424629843</v>
      </c>
      <c r="I140" s="175">
        <f>K140/J140*100</f>
        <v>50.83624215246637</v>
      </c>
      <c r="J140" s="191">
        <f>J141+J142</f>
        <v>223000</v>
      </c>
      <c r="K140" s="192">
        <f>K141+K142</f>
        <v>113364.82</v>
      </c>
      <c r="L140" s="191">
        <f>L141+L142</f>
        <v>250000</v>
      </c>
      <c r="M140" s="191">
        <f>M141+M142</f>
        <v>256250</v>
      </c>
      <c r="N140" s="191">
        <f>N141+N142</f>
        <v>262656.25</v>
      </c>
      <c r="O140" s="191">
        <f>O141+O142</f>
        <v>269222.65625</v>
      </c>
      <c r="P140" s="191">
        <f>P141+P142</f>
        <v>275953.22265625</v>
      </c>
      <c r="Q140" s="191">
        <f>Q141+Q142</f>
        <v>282852.05322265625</v>
      </c>
      <c r="R140" s="191">
        <f>R141+R142</f>
        <v>289923.35455322266</v>
      </c>
      <c r="S140" s="191">
        <f>S141+S142</f>
        <v>297171.4384170532</v>
      </c>
      <c r="T140" s="191">
        <f>T141+T142</f>
        <v>304600.7243774795</v>
      </c>
      <c r="U140" s="191">
        <f>U141+U142</f>
        <v>312215.7424869165</v>
      </c>
      <c r="V140" s="191">
        <f>V141+V142</f>
        <v>320021.1360490894</v>
      </c>
      <c r="W140" s="191">
        <f>W141+W142</f>
        <v>328021.66445031663</v>
      </c>
      <c r="X140" s="174">
        <f>SUM(L140:W140)</f>
        <v>3448888.2424629843</v>
      </c>
      <c r="Y140" s="193"/>
    </row>
    <row r="141" spans="1:25" s="218" customFormat="1" ht="30.75" customHeight="1">
      <c r="A141" s="188"/>
      <c r="B141" s="216"/>
      <c r="C141" s="180"/>
      <c r="D141" s="180" t="s">
        <v>150</v>
      </c>
      <c r="E141" s="194" t="s">
        <v>108</v>
      </c>
      <c r="F141" s="194">
        <v>2009</v>
      </c>
      <c r="G141" s="194">
        <v>2023</v>
      </c>
      <c r="H141" s="182">
        <f>SUM(J141:W141)-K141</f>
        <v>3671888.2424629843</v>
      </c>
      <c r="I141" s="195">
        <f>K141/J141*100</f>
        <v>50.83624215246637</v>
      </c>
      <c r="J141" s="199">
        <v>223000</v>
      </c>
      <c r="K141" s="200">
        <v>113364.82</v>
      </c>
      <c r="L141" s="209">
        <v>250000</v>
      </c>
      <c r="M141" s="209">
        <f>L141*0.025+L141</f>
        <v>256250</v>
      </c>
      <c r="N141" s="209">
        <f>M141*0.025+M141</f>
        <v>262656.25</v>
      </c>
      <c r="O141" s="209">
        <f>N141*0.025+N141</f>
        <v>269222.65625</v>
      </c>
      <c r="P141" s="209">
        <f>O141*0.025+O141</f>
        <v>275953.22265625</v>
      </c>
      <c r="Q141" s="209">
        <f>P141*0.025+P141</f>
        <v>282852.05322265625</v>
      </c>
      <c r="R141" s="209">
        <f>Q141*0.025+Q141</f>
        <v>289923.35455322266</v>
      </c>
      <c r="S141" s="209">
        <f>R141*0.025+R141</f>
        <v>297171.4384170532</v>
      </c>
      <c r="T141" s="209">
        <f>S141*0.025+S141</f>
        <v>304600.7243774795</v>
      </c>
      <c r="U141" s="209">
        <f>T141*0.025+T141</f>
        <v>312215.7424869165</v>
      </c>
      <c r="V141" s="209">
        <f>U141*0.025+U141</f>
        <v>320021.1360490894</v>
      </c>
      <c r="W141" s="209">
        <f>V141*0.025+V141</f>
        <v>328021.66445031663</v>
      </c>
      <c r="X141" s="182">
        <f>SUM(L141:W141)</f>
        <v>3448888.2424629843</v>
      </c>
      <c r="Y141" s="197"/>
    </row>
    <row r="142" spans="1:25" s="218" customFormat="1" ht="30.75" customHeight="1">
      <c r="A142" s="188"/>
      <c r="B142" s="216"/>
      <c r="C142" s="180"/>
      <c r="D142" s="180" t="s">
        <v>159</v>
      </c>
      <c r="E142" s="194" t="s">
        <v>108</v>
      </c>
      <c r="F142" s="194" t="s">
        <v>108</v>
      </c>
      <c r="G142" s="194" t="s">
        <v>108</v>
      </c>
      <c r="H142" s="174"/>
      <c r="I142" s="195"/>
      <c r="J142" s="199"/>
      <c r="K142" s="200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82">
        <f>SUM(L142:W142)</f>
        <v>0</v>
      </c>
      <c r="Y142" s="197"/>
    </row>
    <row r="143" spans="1:25" s="218" customFormat="1" ht="75">
      <c r="A143" s="188"/>
      <c r="B143" s="216"/>
      <c r="C143" s="161" t="s">
        <v>219</v>
      </c>
      <c r="D143" s="190" t="s">
        <v>237</v>
      </c>
      <c r="E143" s="194" t="s">
        <v>108</v>
      </c>
      <c r="F143" s="194" t="s">
        <v>108</v>
      </c>
      <c r="G143" s="194" t="s">
        <v>108</v>
      </c>
      <c r="H143" s="174">
        <f>SUM(J143:W143)-K143</f>
        <v>1183644.237588155</v>
      </c>
      <c r="I143" s="175">
        <f>K144/J143*100</f>
        <v>23.209875000000004</v>
      </c>
      <c r="J143" s="191">
        <f>J144+J145</f>
        <v>80000</v>
      </c>
      <c r="K143" s="192">
        <f>K144+K145</f>
        <v>18567.9</v>
      </c>
      <c r="L143" s="191">
        <f>L144+L145</f>
        <v>80000</v>
      </c>
      <c r="M143" s="191">
        <f>M144+M145</f>
        <v>82000</v>
      </c>
      <c r="N143" s="191">
        <f>N144+N145</f>
        <v>84050</v>
      </c>
      <c r="O143" s="191">
        <f>O144+O145</f>
        <v>86151.25</v>
      </c>
      <c r="P143" s="191">
        <f>P144+P145</f>
        <v>88305.03125</v>
      </c>
      <c r="Q143" s="191">
        <f>Q144+Q145</f>
        <v>90512.65703125</v>
      </c>
      <c r="R143" s="191">
        <f>R144+R145</f>
        <v>92775.47345703124</v>
      </c>
      <c r="S143" s="191">
        <f>S144+S145</f>
        <v>95094.86029345702</v>
      </c>
      <c r="T143" s="191">
        <f>T144+T145</f>
        <v>97472.23180079345</v>
      </c>
      <c r="U143" s="191">
        <f>U144+U145</f>
        <v>99909.0375958133</v>
      </c>
      <c r="V143" s="191">
        <f>V144+V145</f>
        <v>102406.76353570863</v>
      </c>
      <c r="W143" s="191">
        <f>W144+W145</f>
        <v>104966.93262410135</v>
      </c>
      <c r="X143" s="174">
        <f>SUM(L143:W143)</f>
        <v>1103644.237588155</v>
      </c>
      <c r="Y143" s="193"/>
    </row>
    <row r="144" spans="1:25" s="218" customFormat="1" ht="30.75" customHeight="1">
      <c r="A144" s="188"/>
      <c r="B144" s="216"/>
      <c r="C144" s="180"/>
      <c r="D144" s="180" t="s">
        <v>150</v>
      </c>
      <c r="E144" s="194" t="s">
        <v>108</v>
      </c>
      <c r="F144" s="194">
        <v>2009</v>
      </c>
      <c r="G144" s="194">
        <v>2023</v>
      </c>
      <c r="H144" s="182">
        <f>SUM(J144:W144)-K144</f>
        <v>1183644.237588155</v>
      </c>
      <c r="I144" s="195">
        <f>K144/J144*100</f>
        <v>23.209875000000004</v>
      </c>
      <c r="J144" s="199">
        <v>80000</v>
      </c>
      <c r="K144" s="210">
        <v>18567.9</v>
      </c>
      <c r="L144" s="209">
        <v>80000</v>
      </c>
      <c r="M144" s="209">
        <f>L144*0.025+L144</f>
        <v>82000</v>
      </c>
      <c r="N144" s="209">
        <f>M144*0.025+M144</f>
        <v>84050</v>
      </c>
      <c r="O144" s="209">
        <f>N144*0.025+N144</f>
        <v>86151.25</v>
      </c>
      <c r="P144" s="209">
        <f>O144*0.025+O144</f>
        <v>88305.03125</v>
      </c>
      <c r="Q144" s="209">
        <f>P144*0.025+P144</f>
        <v>90512.65703125</v>
      </c>
      <c r="R144" s="209">
        <f>Q144*0.025+Q144</f>
        <v>92775.47345703124</v>
      </c>
      <c r="S144" s="209">
        <f>R144*0.025+R144</f>
        <v>95094.86029345702</v>
      </c>
      <c r="T144" s="209">
        <f>S144*0.025+S144</f>
        <v>97472.23180079345</v>
      </c>
      <c r="U144" s="209">
        <f>T144*0.025+T144</f>
        <v>99909.0375958133</v>
      </c>
      <c r="V144" s="209">
        <f>U144*0.025+U144</f>
        <v>102406.76353570863</v>
      </c>
      <c r="W144" s="209">
        <f>V144*0.025+V144</f>
        <v>104966.93262410135</v>
      </c>
      <c r="X144" s="182">
        <f>SUM(L144:W144)</f>
        <v>1103644.237588155</v>
      </c>
      <c r="Y144" s="197"/>
    </row>
    <row r="145" spans="1:25" s="218" customFormat="1" ht="27">
      <c r="A145" s="188"/>
      <c r="B145" s="216"/>
      <c r="C145" s="180"/>
      <c r="D145" s="180" t="s">
        <v>159</v>
      </c>
      <c r="E145" s="194" t="s">
        <v>108</v>
      </c>
      <c r="F145" s="194" t="s">
        <v>108</v>
      </c>
      <c r="G145" s="194" t="s">
        <v>108</v>
      </c>
      <c r="H145" s="182"/>
      <c r="I145" s="195"/>
      <c r="J145" s="199"/>
      <c r="K145" s="200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82">
        <f>SUM(L145:W145)</f>
        <v>0</v>
      </c>
      <c r="Y145" s="197"/>
    </row>
    <row r="146" spans="1:25" s="218" customFormat="1" ht="50.25">
      <c r="A146" s="188"/>
      <c r="B146" s="216"/>
      <c r="C146" s="161" t="s">
        <v>221</v>
      </c>
      <c r="D146" s="190" t="s">
        <v>238</v>
      </c>
      <c r="E146" s="160" t="s">
        <v>108</v>
      </c>
      <c r="F146" s="160" t="s">
        <v>108</v>
      </c>
      <c r="G146" s="160" t="s">
        <v>108</v>
      </c>
      <c r="H146" s="174">
        <f>SUM(J146:W146)-K146</f>
        <v>27123</v>
      </c>
      <c r="I146" s="175">
        <f>K146/J146*100</f>
        <v>100</v>
      </c>
      <c r="J146" s="191">
        <f>J147+J148</f>
        <v>9041</v>
      </c>
      <c r="K146" s="192">
        <f>K147+K148</f>
        <v>9041</v>
      </c>
      <c r="L146" s="191">
        <f>L147+L148</f>
        <v>9041</v>
      </c>
      <c r="M146" s="191">
        <f>M147+M148</f>
        <v>9041</v>
      </c>
      <c r="N146" s="191">
        <f>N147+N148</f>
        <v>0</v>
      </c>
      <c r="O146" s="191">
        <f>O147+O148</f>
        <v>0</v>
      </c>
      <c r="P146" s="191">
        <f>P147+P148</f>
        <v>0</v>
      </c>
      <c r="Q146" s="191">
        <f>Q147+Q148</f>
        <v>0</v>
      </c>
      <c r="R146" s="191">
        <f>R147+R148</f>
        <v>0</v>
      </c>
      <c r="S146" s="191">
        <f>S147+S148</f>
        <v>0</v>
      </c>
      <c r="T146" s="191">
        <f>T147+T148</f>
        <v>0</v>
      </c>
      <c r="U146" s="191">
        <f>U147+U148</f>
        <v>0</v>
      </c>
      <c r="V146" s="191">
        <f>V147+V148</f>
        <v>0</v>
      </c>
      <c r="W146" s="191">
        <f>W147+W148</f>
        <v>0</v>
      </c>
      <c r="X146" s="174">
        <f>SUM(L146:W146)</f>
        <v>18082</v>
      </c>
      <c r="Y146" s="197"/>
    </row>
    <row r="147" spans="1:25" s="218" customFormat="1" ht="35.25" customHeight="1">
      <c r="A147" s="188"/>
      <c r="B147" s="216"/>
      <c r="C147" s="180"/>
      <c r="D147" s="180" t="s">
        <v>150</v>
      </c>
      <c r="E147" s="194" t="s">
        <v>108</v>
      </c>
      <c r="F147" s="194">
        <v>2011</v>
      </c>
      <c r="G147" s="194">
        <v>2013</v>
      </c>
      <c r="H147" s="182">
        <f>SUM(J147:W147)-K147</f>
        <v>27123</v>
      </c>
      <c r="I147" s="195">
        <f>K147/J147*100</f>
        <v>100</v>
      </c>
      <c r="J147" s="199">
        <v>9041</v>
      </c>
      <c r="K147" s="200">
        <v>9041</v>
      </c>
      <c r="L147" s="199">
        <v>9041</v>
      </c>
      <c r="M147" s="199">
        <v>9041</v>
      </c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182">
        <f>SUM(L147:W147)</f>
        <v>18082</v>
      </c>
      <c r="Y147" s="197"/>
    </row>
    <row r="148" spans="1:25" s="218" customFormat="1" ht="27">
      <c r="A148" s="188"/>
      <c r="B148" s="216"/>
      <c r="C148" s="180"/>
      <c r="D148" s="180" t="s">
        <v>159</v>
      </c>
      <c r="E148" s="194" t="s">
        <v>108</v>
      </c>
      <c r="F148" s="194" t="s">
        <v>108</v>
      </c>
      <c r="G148" s="194" t="s">
        <v>108</v>
      </c>
      <c r="H148" s="174"/>
      <c r="I148" s="195"/>
      <c r="J148" s="199"/>
      <c r="K148" s="200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82">
        <f>SUM(L148:W148)</f>
        <v>0</v>
      </c>
      <c r="Y148" s="197"/>
    </row>
    <row r="149" spans="1:25" s="219" customFormat="1" ht="48.75">
      <c r="A149" s="214"/>
      <c r="B149" s="216"/>
      <c r="C149" s="161" t="s">
        <v>223</v>
      </c>
      <c r="D149" s="190" t="s">
        <v>239</v>
      </c>
      <c r="E149" s="160" t="s">
        <v>108</v>
      </c>
      <c r="F149" s="160" t="s">
        <v>108</v>
      </c>
      <c r="G149" s="160" t="s">
        <v>108</v>
      </c>
      <c r="H149" s="174">
        <f>SUM(J149:W149)-K149</f>
        <v>17887</v>
      </c>
      <c r="I149" s="223">
        <f>K149/J149*100</f>
        <v>153.5756752165789</v>
      </c>
      <c r="J149" s="191">
        <f>J150+J151</f>
        <v>5887</v>
      </c>
      <c r="K149" s="224">
        <f>K150+K151</f>
        <v>9041</v>
      </c>
      <c r="L149" s="191">
        <f>L150+L151</f>
        <v>2000</v>
      </c>
      <c r="M149" s="191">
        <f>M150+M151</f>
        <v>2000</v>
      </c>
      <c r="N149" s="191">
        <f>N150+N151</f>
        <v>2000</v>
      </c>
      <c r="O149" s="191">
        <f>O150+O151</f>
        <v>2000</v>
      </c>
      <c r="P149" s="191">
        <f>P150+P151</f>
        <v>2000</v>
      </c>
      <c r="Q149" s="191">
        <f>Q150+Q151</f>
        <v>2000</v>
      </c>
      <c r="R149" s="191">
        <f>R150+R151</f>
        <v>0</v>
      </c>
      <c r="S149" s="191">
        <f>S150+S151</f>
        <v>0</v>
      </c>
      <c r="T149" s="191">
        <f>T150+T151</f>
        <v>0</v>
      </c>
      <c r="U149" s="191">
        <f>U150+U151</f>
        <v>0</v>
      </c>
      <c r="V149" s="191">
        <f>V150+V151</f>
        <v>0</v>
      </c>
      <c r="W149" s="191">
        <f>W150+W151</f>
        <v>0</v>
      </c>
      <c r="X149" s="174">
        <f>SUM(L149:W149)</f>
        <v>12000</v>
      </c>
      <c r="Y149" s="204"/>
    </row>
    <row r="150" spans="1:25" s="218" customFormat="1" ht="27">
      <c r="A150" s="188"/>
      <c r="B150" s="221"/>
      <c r="C150" s="180"/>
      <c r="D150" s="180" t="s">
        <v>150</v>
      </c>
      <c r="E150" s="194" t="s">
        <v>108</v>
      </c>
      <c r="F150" s="194">
        <v>2011</v>
      </c>
      <c r="G150" s="194">
        <v>2017</v>
      </c>
      <c r="H150" s="182">
        <f>SUM(J150:W150)-K150</f>
        <v>17887</v>
      </c>
      <c r="I150" s="225">
        <f>K150/J150*100</f>
        <v>153.5756752165789</v>
      </c>
      <c r="J150" s="199">
        <v>5887</v>
      </c>
      <c r="K150" s="228">
        <v>9041</v>
      </c>
      <c r="L150" s="199">
        <v>2000</v>
      </c>
      <c r="M150" s="199">
        <v>2000</v>
      </c>
      <c r="N150" s="199">
        <v>2000</v>
      </c>
      <c r="O150" s="199">
        <v>2000</v>
      </c>
      <c r="P150" s="199">
        <v>2000</v>
      </c>
      <c r="Q150" s="199">
        <v>2000</v>
      </c>
      <c r="R150" s="209"/>
      <c r="S150" s="209"/>
      <c r="T150" s="209"/>
      <c r="U150" s="209"/>
      <c r="V150" s="209"/>
      <c r="W150" s="209"/>
      <c r="X150" s="182">
        <f>SUM(L150:W150)</f>
        <v>12000</v>
      </c>
      <c r="Y150" s="197"/>
    </row>
    <row r="151" spans="1:25" s="218" customFormat="1" ht="27">
      <c r="A151" s="188"/>
      <c r="B151" s="216"/>
      <c r="C151" s="180"/>
      <c r="D151" s="180" t="s">
        <v>159</v>
      </c>
      <c r="E151" s="194" t="s">
        <v>108</v>
      </c>
      <c r="F151" s="194" t="s">
        <v>108</v>
      </c>
      <c r="G151" s="194" t="s">
        <v>108</v>
      </c>
      <c r="H151" s="174"/>
      <c r="I151" s="225"/>
      <c r="J151" s="199"/>
      <c r="K151" s="228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82">
        <f>SUM(L151:W151)</f>
        <v>0</v>
      </c>
      <c r="Y151" s="197"/>
    </row>
    <row r="152" spans="1:25" s="220" customFormat="1" ht="47.25" customHeight="1">
      <c r="A152" s="214"/>
      <c r="B152" s="161" t="s">
        <v>176</v>
      </c>
      <c r="C152" s="173" t="s">
        <v>177</v>
      </c>
      <c r="D152" s="173"/>
      <c r="E152" s="160" t="s">
        <v>162</v>
      </c>
      <c r="F152" s="222" t="s">
        <v>108</v>
      </c>
      <c r="G152" s="222" t="s">
        <v>108</v>
      </c>
      <c r="H152" s="174">
        <f>SUM(J152:W152)-K152</f>
        <v>4785180</v>
      </c>
      <c r="I152" s="175">
        <f>K152/J152*100</f>
        <v>0</v>
      </c>
      <c r="J152" s="191">
        <f>J153+J155</f>
        <v>23600</v>
      </c>
      <c r="K152" s="192">
        <f>K153+K155</f>
        <v>0</v>
      </c>
      <c r="L152" s="191">
        <f>SUM(L153:L154)</f>
        <v>345771</v>
      </c>
      <c r="M152" s="191">
        <f>SUM(M153:M154)</f>
        <v>623810</v>
      </c>
      <c r="N152" s="191">
        <f>SUM(N153:N154)</f>
        <v>604422</v>
      </c>
      <c r="O152" s="191">
        <f>SUM(O153:O154)</f>
        <v>580383</v>
      </c>
      <c r="P152" s="191">
        <f>SUM(P153:P154)</f>
        <v>365760</v>
      </c>
      <c r="Q152" s="191">
        <f>SUM(Q153:Q154)</f>
        <v>354370</v>
      </c>
      <c r="R152" s="191">
        <f>SUM(R153:R154)</f>
        <v>342983</v>
      </c>
      <c r="S152" s="191">
        <f>SUM(S153:S154)</f>
        <v>331593</v>
      </c>
      <c r="T152" s="191">
        <f>SUM(T153:T154)</f>
        <v>320204</v>
      </c>
      <c r="U152" s="191">
        <f>SUM(U153:U154)</f>
        <v>308816</v>
      </c>
      <c r="V152" s="191">
        <f>SUM(V153:V154)</f>
        <v>297428</v>
      </c>
      <c r="W152" s="191">
        <f>SUM(W153:W154)</f>
        <v>286040</v>
      </c>
      <c r="X152" s="174">
        <f>SUM(L152:W152)</f>
        <v>4761580</v>
      </c>
      <c r="Y152" s="193"/>
    </row>
    <row r="153" spans="1:25" s="220" customFormat="1" ht="75">
      <c r="A153" s="214"/>
      <c r="B153" s="161"/>
      <c r="C153" s="167" t="s">
        <v>156</v>
      </c>
      <c r="D153" s="201" t="s">
        <v>240</v>
      </c>
      <c r="E153" s="194" t="s">
        <v>108</v>
      </c>
      <c r="F153" s="194">
        <v>2011</v>
      </c>
      <c r="G153" s="194">
        <v>2015</v>
      </c>
      <c r="H153" s="182">
        <f>SUM(J153:W153)-K153</f>
        <v>898220</v>
      </c>
      <c r="I153" s="195">
        <f>K153/J153*100</f>
        <v>0</v>
      </c>
      <c r="J153" s="199">
        <v>23600</v>
      </c>
      <c r="K153" s="200">
        <v>0</v>
      </c>
      <c r="L153" s="199">
        <f>200000+31885</f>
        <v>231885</v>
      </c>
      <c r="M153" s="199">
        <f>23885+200000</f>
        <v>223885</v>
      </c>
      <c r="N153" s="199">
        <f>15885+200000</f>
        <v>215885</v>
      </c>
      <c r="O153" s="199">
        <f>5833+197132</f>
        <v>202965</v>
      </c>
      <c r="P153" s="199"/>
      <c r="Q153" s="199"/>
      <c r="R153" s="199"/>
      <c r="S153" s="199"/>
      <c r="T153" s="199"/>
      <c r="U153" s="199"/>
      <c r="V153" s="199"/>
      <c r="W153" s="199"/>
      <c r="X153" s="182">
        <f>SUM(L153:W153)</f>
        <v>874620</v>
      </c>
      <c r="Y153" s="193"/>
    </row>
    <row r="154" spans="1:32" s="232" customFormat="1" ht="44.25" customHeight="1">
      <c r="A154" s="229"/>
      <c r="B154" s="161"/>
      <c r="C154" s="167" t="s">
        <v>160</v>
      </c>
      <c r="D154" s="201" t="s">
        <v>241</v>
      </c>
      <c r="E154" s="194" t="s">
        <v>108</v>
      </c>
      <c r="F154" s="230">
        <v>2012</v>
      </c>
      <c r="G154" s="230">
        <v>2023</v>
      </c>
      <c r="H154" s="182">
        <f>SUM(J154:W154)-K154</f>
        <v>3886960</v>
      </c>
      <c r="I154" s="215"/>
      <c r="J154" s="215"/>
      <c r="K154" s="215"/>
      <c r="L154" s="199">
        <v>113886</v>
      </c>
      <c r="M154" s="199">
        <f>175000+224925</f>
        <v>399925</v>
      </c>
      <c r="N154" s="199">
        <f>175000+213537</f>
        <v>388537</v>
      </c>
      <c r="O154" s="199">
        <f>175000+202418</f>
        <v>377418</v>
      </c>
      <c r="P154" s="199">
        <f>175000+190760</f>
        <v>365760</v>
      </c>
      <c r="Q154" s="199">
        <f>175000+179370</f>
        <v>354370</v>
      </c>
      <c r="R154" s="199">
        <f>175000+167983</f>
        <v>342983</v>
      </c>
      <c r="S154" s="199">
        <f>175000+156593</f>
        <v>331593</v>
      </c>
      <c r="T154" s="199">
        <f>175000+145204</f>
        <v>320204</v>
      </c>
      <c r="U154" s="199">
        <f>175000+133816</f>
        <v>308816</v>
      </c>
      <c r="V154" s="199">
        <f>175000+122428</f>
        <v>297428</v>
      </c>
      <c r="W154" s="199">
        <f>175000+111040</f>
        <v>286040</v>
      </c>
      <c r="X154" s="182">
        <f>SUM(L154:W154)</f>
        <v>3886960</v>
      </c>
      <c r="Y154" s="231"/>
      <c r="AF154" s="233"/>
    </row>
    <row r="155" spans="1:25" s="244" customFormat="1" ht="12.75" hidden="1">
      <c r="A155" s="234"/>
      <c r="B155" s="235"/>
      <c r="C155" s="236" t="s">
        <v>160</v>
      </c>
      <c r="D155" s="237" t="s">
        <v>242</v>
      </c>
      <c r="E155" s="238" t="s">
        <v>108</v>
      </c>
      <c r="F155" s="238" t="s">
        <v>108</v>
      </c>
      <c r="G155" s="238" t="s">
        <v>108</v>
      </c>
      <c r="H155" s="239">
        <v>0</v>
      </c>
      <c r="I155" s="240"/>
      <c r="J155" s="239">
        <v>0</v>
      </c>
      <c r="K155" s="241"/>
      <c r="L155" s="239">
        <v>0</v>
      </c>
      <c r="M155" s="239">
        <v>0</v>
      </c>
      <c r="N155" s="239">
        <v>0</v>
      </c>
      <c r="O155" s="239">
        <v>0</v>
      </c>
      <c r="P155" s="239"/>
      <c r="Q155" s="239"/>
      <c r="R155" s="239"/>
      <c r="S155" s="239"/>
      <c r="T155" s="239"/>
      <c r="U155" s="239"/>
      <c r="V155" s="239"/>
      <c r="W155" s="239"/>
      <c r="X155" s="242">
        <f>SUM(J155:O155)</f>
        <v>0</v>
      </c>
      <c r="Y155" s="243"/>
    </row>
    <row r="156" spans="5:7" ht="13.5">
      <c r="E156" s="95"/>
      <c r="F156" s="95"/>
      <c r="G156" s="95"/>
    </row>
    <row r="157" spans="5:7" ht="13.5">
      <c r="E157" s="95"/>
      <c r="F157" s="95"/>
      <c r="G157" s="95"/>
    </row>
    <row r="158" spans="5:7" ht="13.5">
      <c r="E158" s="95"/>
      <c r="F158" s="95"/>
      <c r="G158" s="95"/>
    </row>
    <row r="159" spans="5:7" ht="13.5">
      <c r="E159" s="95"/>
      <c r="F159" s="95"/>
      <c r="G159" s="95"/>
    </row>
    <row r="160" spans="5:7" ht="13.5">
      <c r="E160" s="95"/>
      <c r="F160" s="95"/>
      <c r="G160" s="95"/>
    </row>
    <row r="161" spans="5:7" ht="13.5">
      <c r="E161" s="95"/>
      <c r="F161" s="95"/>
      <c r="G161" s="95"/>
    </row>
  </sheetData>
  <sheetProtection selectLockedCells="1" selectUnlockedCells="1"/>
  <mergeCells count="43">
    <mergeCell ref="A1:X1"/>
    <mergeCell ref="A2:A4"/>
    <mergeCell ref="B2:D4"/>
    <mergeCell ref="E2:E4"/>
    <mergeCell ref="F2:G3"/>
    <mergeCell ref="H2:H4"/>
    <mergeCell ref="I2:W2"/>
    <mergeCell ref="X2:X4"/>
    <mergeCell ref="I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B5:D5"/>
    <mergeCell ref="B6:D6"/>
    <mergeCell ref="B7:D7"/>
    <mergeCell ref="B8:D8"/>
    <mergeCell ref="B9:D9"/>
    <mergeCell ref="C10:D10"/>
    <mergeCell ref="C11:D11"/>
    <mergeCell ref="C12:D12"/>
    <mergeCell ref="C13:D13"/>
    <mergeCell ref="C80:D80"/>
    <mergeCell ref="C81:D81"/>
    <mergeCell ref="C82:D82"/>
    <mergeCell ref="C83:D83"/>
    <mergeCell ref="C87:D87"/>
    <mergeCell ref="C88:D88"/>
    <mergeCell ref="C89:D89"/>
    <mergeCell ref="C90:D90"/>
    <mergeCell ref="C127:D127"/>
    <mergeCell ref="C128:D128"/>
    <mergeCell ref="C129:D129"/>
    <mergeCell ref="C130:D130"/>
    <mergeCell ref="C152:D152"/>
  </mergeCells>
  <printOptions horizontalCentered="1"/>
  <pageMargins left="0.5902777777777778" right="0.5902777777777778" top="1.1479166666666667" bottom="0.7284722222222222" header="0.5902777777777778" footer="0.44375"/>
  <pageSetup horizontalDpi="300" verticalDpi="300" orientation="landscape" paperSize="9" scale="25"/>
  <headerFooter alignWithMargins="0">
    <oddHeader>&amp;R&amp;"Times New Roman,Normalny"&amp;26Załącznik nr 2a  do uchwały Nr XXIII/291/2012 z dnia 31 maja 2012 r. w sprawie  wieloletniej prognozy finansowej Gminy</oddHeader>
    <oddFooter>&amp;C&amp;"Times New Roman,Normalny"&amp;12Strona &amp;P z &amp;N</oddFooter>
  </headerFooter>
  <rowBreaks count="3" manualBreakCount="3">
    <brk id="49" max="255" man="1"/>
    <brk id="108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</dc:title>
  <dc:subject/>
  <dc:creator>Ewa Patrzałek</dc:creator>
  <cp:keywords/>
  <dc:description/>
  <cp:lastModifiedBy/>
  <cp:lastPrinted>2012-06-04T07:58:13Z</cp:lastPrinted>
  <dcterms:created xsi:type="dcterms:W3CDTF">2010-07-28T16:34:46Z</dcterms:created>
  <dcterms:modified xsi:type="dcterms:W3CDTF">2012-06-04T07:40:27Z</dcterms:modified>
  <cp:category/>
  <cp:version/>
  <cp:contentType/>
  <cp:contentStatus/>
  <cp:revision>506</cp:revision>
</cp:coreProperties>
</file>