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_1_WPF" sheetId="1" r:id="rId1"/>
    <sheet name="załacznik 2" sheetId="2" r:id="rId2"/>
    <sheet name="załcznika 2a" sheetId="3" r:id="rId3"/>
  </sheets>
  <externalReferences>
    <externalReference r:id="rId6"/>
  </externalReferences>
  <definedNames>
    <definedName name="Excel_BuiltIn_Print_Area_1_1">'zał_1_WPF'!$A$1:$L$86</definedName>
    <definedName name="_xlnm.Print_Area" localSheetId="0">'zał_1_WPF'!$A$1:$T$86</definedName>
  </definedNames>
  <calcPr fullCalcOnLoad="1"/>
</workbook>
</file>

<file path=xl/sharedStrings.xml><?xml version="1.0" encoding="utf-8"?>
<sst xmlns="http://schemas.openxmlformats.org/spreadsheetml/2006/main" count="1000" uniqueCount="235">
  <si>
    <t>WIELOLETNIA PROGNOZA FINANSOWA GMINY Barlinek</t>
  </si>
  <si>
    <t xml:space="preserve">Przepływy pieniężne i kwota długu na 2012r .                                                   </t>
  </si>
  <si>
    <t>Lp.</t>
  </si>
  <si>
    <t>Wyszczególnienie</t>
  </si>
  <si>
    <t>Wykonanie</t>
  </si>
  <si>
    <t>Wykonanie za 2011 rok</t>
  </si>
  <si>
    <t>Plan na 2012 rok</t>
  </si>
  <si>
    <t xml:space="preserve">    Prognoza </t>
  </si>
  <si>
    <t>2008 rok</t>
  </si>
  <si>
    <t xml:space="preserve">2009 rok </t>
  </si>
  <si>
    <t>2010 rok</t>
  </si>
  <si>
    <t>%</t>
  </si>
  <si>
    <t>2011 rok</t>
  </si>
  <si>
    <t>2013 rok</t>
  </si>
  <si>
    <t>2014 rok</t>
  </si>
  <si>
    <t>2015 rok</t>
  </si>
  <si>
    <t>2016 rok</t>
  </si>
  <si>
    <t>2017 rok</t>
  </si>
  <si>
    <t>2018 rok</t>
  </si>
  <si>
    <t>2019 rok</t>
  </si>
  <si>
    <t>2020 rok</t>
  </si>
  <si>
    <t>2021 rok</t>
  </si>
  <si>
    <t>2022 rok</t>
  </si>
  <si>
    <t>2023 rok</t>
  </si>
  <si>
    <t>1.</t>
  </si>
  <si>
    <t xml:space="preserve">Dochody ogółem </t>
  </si>
  <si>
    <t>1.1.</t>
  </si>
  <si>
    <t>Dochody bieżące</t>
  </si>
  <si>
    <t>1.2.</t>
  </si>
  <si>
    <t>Dochody majątkowe</t>
  </si>
  <si>
    <t>1.3.</t>
  </si>
  <si>
    <t>w tym: - ze sprzedaży majątku</t>
  </si>
  <si>
    <t>2.</t>
  </si>
  <si>
    <t>Wydatki bieżące (bez wydatków związanych z obsługą długu)</t>
  </si>
  <si>
    <t>2.1.</t>
  </si>
  <si>
    <t>Wynagrodzenia i składki od nich naliczane</t>
  </si>
  <si>
    <t>2.2.</t>
  </si>
  <si>
    <t>Wydatki związane z funkcjonowaniem organów j.s.t.</t>
  </si>
  <si>
    <t xml:space="preserve">2.3. </t>
  </si>
  <si>
    <t xml:space="preserve">Przedsięwzięcia, o których mowa w art. 226 ust. 4 ufp (wydatki bieżące z wyłączeniem wieloletnich gwarancji i poręczeń)                         </t>
  </si>
  <si>
    <t>wieloletnie programy finansowane z udziałem środków, o których mowa w art.. 5 ust. 1 pkt 2 i 3 ufp</t>
  </si>
  <si>
    <t>wieloletnie umowy o partnerstwie publiczno - prywatnym</t>
  </si>
  <si>
    <t>wieloletnie umowy niezbędne do zapewnienia ciągłości działania</t>
  </si>
  <si>
    <t>2.4.</t>
  </si>
  <si>
    <t>Pozostałe wydatki bieżące</t>
  </si>
  <si>
    <t>3.</t>
  </si>
  <si>
    <t>Wynik budżetu po wykonaniu wydatków bieżących bez obsługi długu (poz. 1 - poz. 2)</t>
  </si>
  <si>
    <t>kwota kontrolna</t>
  </si>
  <si>
    <r>
      <t>różnica pomiędzy dochodami bieżącymi i wydatkami bieżącymi bez obsługi długu (poz. 1.1. - poz. 2);</t>
    </r>
    <r>
      <rPr>
        <b/>
        <i/>
        <sz val="9"/>
        <color indexed="10"/>
        <rFont val="Czcionka tekstu podstawowego"/>
        <family val="0"/>
      </rPr>
      <t xml:space="preserve"> 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 0 </t>
    </r>
  </si>
  <si>
    <t>4.</t>
  </si>
  <si>
    <t>Przychody nie zwiększające długu</t>
  </si>
  <si>
    <t>4.1.</t>
  </si>
  <si>
    <t>Nadwyżki budżetowe z lat poprzednich</t>
  </si>
  <si>
    <t>4.2.</t>
  </si>
  <si>
    <t>Wolne środki</t>
  </si>
  <si>
    <t xml:space="preserve">4.3. </t>
  </si>
  <si>
    <t xml:space="preserve">Prywatyzacja i spłaty udzielonych pożyczek </t>
  </si>
  <si>
    <t>5.</t>
  </si>
  <si>
    <t>Środki do dyspozycji - źródło finansowania spłaty długu i wydatków majątkowych  (poz. 3 + poz. 4)</t>
  </si>
  <si>
    <r>
      <t>środki do dyspozycji  na finansowanie wydatków związanych z obsługą długu, tj. na odsetek, dyskonta, poręczeń i gwarancji, z poz. 6.1.</t>
    </r>
    <r>
      <rPr>
        <b/>
        <i/>
        <sz val="9"/>
        <rFont val="Czcionka tekstu podstawowego"/>
        <family val="0"/>
      </rPr>
      <t xml:space="preserve"> (poz. 1.1. - poz. 2 + poz. 4); </t>
    </r>
    <r>
      <rPr>
        <b/>
        <i/>
        <sz val="9"/>
        <color indexed="10"/>
        <rFont val="Czcionka tekstu podstawowego"/>
        <family val="0"/>
      </rPr>
      <t xml:space="preserve">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0  </t>
    </r>
  </si>
  <si>
    <t>6.</t>
  </si>
  <si>
    <t>Obsługa długu (wydatki i rozchody)</t>
  </si>
  <si>
    <t>6.1.</t>
  </si>
  <si>
    <t>Wydatki związane z obsługą długu</t>
  </si>
  <si>
    <t>6.1.1</t>
  </si>
  <si>
    <t>- odsetki i dyskonto</t>
  </si>
  <si>
    <t>podlegające wyłączeniu (w związku z umową zawartą na realizację projektu z udziałem środków, o których mowa w art.5 ust.1 pkt 2 ufp)</t>
  </si>
  <si>
    <t>6.1.2</t>
  </si>
  <si>
    <t>- gwarancje i poręczenia (bez ujętych w przedsięwzięciach)</t>
  </si>
  <si>
    <t xml:space="preserve"> podlegające wyłączeniu (w związku z umową zawartą na realizację projektu z udziałem środków, o których mowa w art.5 ust.1 pkt 2 ufp)</t>
  </si>
  <si>
    <t>6.1.3.</t>
  </si>
  <si>
    <t xml:space="preserve">- wieloletnie gwarancje i poręczenia będące przedsięwzięciami, o których mowa w art. 226 ust. 4 ufp                             </t>
  </si>
  <si>
    <t>podlegające wyłączeniu (w związku z umową  zawartą na realizację projektu z udziałem środków, o których mowa w art.5 ust.1 pkt 2 ufp)</t>
  </si>
  <si>
    <t>6.2.</t>
  </si>
  <si>
    <t>Rozchody zmniejszające dług (spłata rat kredytów i pożyczek, wykup papierów)</t>
  </si>
  <si>
    <t>podlegająca wyłączeniu (w związku z umową zawartą na realizację projektu z udziałem środków, o których mowa w art.5 ust.1 pkt 2 ufp)</t>
  </si>
  <si>
    <t xml:space="preserve">7. </t>
  </si>
  <si>
    <t>Pozostałe rozchody (z wyłączeniem spłat długu)</t>
  </si>
  <si>
    <r>
      <t xml:space="preserve">Dochody bieżące (poz. 1.1.) + przychody nie zwiększające długu (poz. 4) - wydatki bieżące ogłem (poz. 2 + poz. 6.1.); </t>
    </r>
    <r>
      <rPr>
        <b/>
        <i/>
        <sz val="10"/>
        <color indexed="10"/>
        <rFont val="Czcionka tekstu podstawowego"/>
        <family val="0"/>
      </rPr>
      <t xml:space="preserve">począwszy od 2011 r.  kwota ≥ 0 </t>
    </r>
  </si>
  <si>
    <t>8.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</si>
  <si>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</si>
  <si>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</si>
  <si>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</si>
  <si>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</si>
  <si>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</si>
  <si>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wieloletnie programy finansowane z udziałem środków,  o których mowa w art.. 5 ust. 1 pkt 2 i 3 ufp</t>
  </si>
  <si>
    <t>pozostałe wieloletnie programy, projekty, zadania</t>
  </si>
  <si>
    <t>9.2.</t>
  </si>
  <si>
    <t>Pozostałe wydatki majątkowe</t>
  </si>
  <si>
    <t>10.</t>
  </si>
  <si>
    <t>Przychody zwiększające dług (nowo zaciągane kredyty, pożyczki, emitowane papiery)</t>
  </si>
  <si>
    <t>11.</t>
  </si>
  <si>
    <t>Wynik finansowy budżetu (poz.8 - poz.9 + poz.10)</t>
  </si>
  <si>
    <t>PROGNOZA KWOTY DŁUGU I JEJ SPŁAT</t>
  </si>
  <si>
    <t xml:space="preserve">Plan na 2012 rok </t>
  </si>
  <si>
    <t>12.</t>
  </si>
  <si>
    <t>Kwota długu na koniec roku</t>
  </si>
  <si>
    <t>umowy podlegające włączeniu na podstawie par.3 pkt.2 Rozporządzenie Ministra Finansów z dnia 23 grudnia 2010 r (Dz. U. Nr 256, poz. 1692).</t>
  </si>
  <si>
    <t>13.</t>
  </si>
  <si>
    <t xml:space="preserve">Kwota spłaty długu </t>
  </si>
  <si>
    <t>14.</t>
  </si>
  <si>
    <t>Sposób sfinansowania spłaty długu (kwota powinna być zgodna z kwotą wykazaną w poz. 13)</t>
  </si>
  <si>
    <r>
      <t xml:space="preserve">- nadwyżki budżetowe </t>
    </r>
    <r>
      <rPr>
        <b/>
        <sz val="13"/>
        <color indexed="8"/>
        <rFont val="Times New Roman"/>
        <family val="1"/>
      </rPr>
      <t>(</t>
    </r>
    <r>
      <rPr>
        <sz val="13"/>
        <color indexed="8"/>
        <rFont val="Times New Roman"/>
        <family val="1"/>
      </rPr>
      <t>wówczas gdy skumulowany wynik budżetu powiększony o wynik roku jest nadwyżką - wartość dodatnia</t>
    </r>
    <r>
      <rPr>
        <b/>
        <sz val="13"/>
        <color indexed="8"/>
        <rFont val="Times New Roman"/>
        <family val="1"/>
      </rPr>
      <t>)</t>
    </r>
  </si>
  <si>
    <t>- wolne środki</t>
  </si>
  <si>
    <t>- przychody z prywatyzacji i spłat udzielonych pożyczek</t>
  </si>
  <si>
    <t>- przychody z tytułu kredytów, pożyczek, emitowane papiery wartościowe</t>
  </si>
  <si>
    <t>15.</t>
  </si>
  <si>
    <t>Kwota długu związku doliczana do długu j.s.t. (wymóg art. 244 ufp)</t>
  </si>
  <si>
    <t>x</t>
  </si>
  <si>
    <t>16.</t>
  </si>
  <si>
    <t xml:space="preserve">Kwota spłaty długu związku doliczonego do długu </t>
  </si>
  <si>
    <t>17.</t>
  </si>
  <si>
    <t>Wskaźniki zadłużenia</t>
  </si>
  <si>
    <t>17.1.</t>
  </si>
  <si>
    <t>Relacja, o której mowa w art. 169 ustawy z 30 czerwca 2005 r. o finansach publicznych (bez wyłączeń)</t>
  </si>
  <si>
    <t>Relacja, o której mowa w art. 169 ustawy z 30 czerwca 2005 r.               o finansach publicznych po wyłączeniach (max 15%)</t>
  </si>
  <si>
    <t>17.2.</t>
  </si>
  <si>
    <t>Relacja, o której mowa w art. 170 ustawy z 30 czerwca 2005 r. o finansach publicznych (bez wyłączeń)</t>
  </si>
  <si>
    <t>Relacja, o której mowa w art. 170 ustawy z 30 czerwca 2005 r. o finansach publicznych po wyłączeniach (max 60%)</t>
  </si>
  <si>
    <t>17.3.</t>
  </si>
  <si>
    <t>Relacja bazowa do wyliczenia Indywidualnego Limitu Zadłużenia [(poz.1 + poz.3 - poz. 4) : poz.I.]</t>
  </si>
  <si>
    <t>17.4.</t>
  </si>
  <si>
    <t>Indywidualny limit zadłużenia, o którym mowa w art..243 ust. 1 ustawy z 27 sierpnia 2009 r. o finansach publicznych w % (średnia z trzech poprzednich lat)</t>
  </si>
  <si>
    <t>17.5.</t>
  </si>
  <si>
    <t>Relacja, o której mowa w art. 243 ust. 1 ustawy  z 27 sierpnia 2009 r. w %  (bez wyłączeń i kwoty długu związku)</t>
  </si>
  <si>
    <t>Relacja, o której mowa w art. 243 ust.1 ustawy z 27 sierpnia 2009  r. o finansach publicznych po wyłączeniach (bez długu związku)</t>
  </si>
  <si>
    <t xml:space="preserve">Planowane dochody, wydatki, przychody i rozchody </t>
  </si>
  <si>
    <t xml:space="preserve">18. </t>
  </si>
  <si>
    <t>19.</t>
  </si>
  <si>
    <t>Wydatki ogółem</t>
  </si>
  <si>
    <t>w tym:  przedsięwzięcia ogółem (sprawdzenie zgodności z kwotami z załącznika nr 2)</t>
  </si>
  <si>
    <t>20.</t>
  </si>
  <si>
    <t>Wynik budżetu (nadwyżka + / deficyt -)</t>
  </si>
  <si>
    <t>21.</t>
  </si>
  <si>
    <t>Przychody ogółem</t>
  </si>
  <si>
    <t>22.</t>
  </si>
  <si>
    <t>Rozchody ogółem</t>
  </si>
  <si>
    <t xml:space="preserve">suma kontrolna </t>
  </si>
  <si>
    <t>Równowaga budżetowa (sprawdzenie: wykonanie D-W+P-R ≥0; prognoza  D-W+P-R=0 )</t>
  </si>
  <si>
    <r>
      <t>Kwota obliczona zgodnie z art. 242 ust. 1 ufp (dochody bieżące - wydatki bieżące + nadwyżki z lat ubiegłych + wolne środki);</t>
    </r>
    <r>
      <rPr>
        <b/>
        <sz val="10"/>
        <color indexed="10"/>
        <rFont val="Czcionka tekstu podstawowego"/>
        <family val="0"/>
      </rPr>
      <t xml:space="preserve"> od 2011 r. wymagana wartość  ≥ 0</t>
    </r>
  </si>
  <si>
    <t xml:space="preserve">PRZEDSIĘWZIĘCIA REALIZOWANE W LATACH 2012 - 2023 </t>
  </si>
  <si>
    <t>Jednostka odpowiedzialna lub koordynująca</t>
  </si>
  <si>
    <t>Okres realizacji (programu, zadania, umowy)</t>
  </si>
  <si>
    <t>Łączne nakłady finansowe</t>
  </si>
  <si>
    <t>Limity wydatków w poszczególnych latach</t>
  </si>
  <si>
    <t>Limit zobowiązań</t>
  </si>
  <si>
    <t>2012 rok</t>
  </si>
  <si>
    <t>od</t>
  </si>
  <si>
    <t>do</t>
  </si>
  <si>
    <t>Wieloletnie programy, projekty lub zadania razem, z tego:</t>
  </si>
  <si>
    <t>- wydatki bieżące</t>
  </si>
  <si>
    <t xml:space="preserve">- wydatki majątkowe </t>
  </si>
  <si>
    <t xml:space="preserve">   z tego:</t>
  </si>
  <si>
    <t>a)</t>
  </si>
  <si>
    <t>wieloletnie programy, projekty lub zadania związane z programami realizowanymi z udziałem środków, o których mowa w art.5 ust.1 pkt 2 i 3 - razem,  z tego:</t>
  </si>
  <si>
    <t xml:space="preserve">  z tego:</t>
  </si>
  <si>
    <t>1)</t>
  </si>
  <si>
    <t>Program Operacyjny Kapitał Ludzki</t>
  </si>
  <si>
    <t>Ośrodek Pomocy Społecznej</t>
  </si>
  <si>
    <t>- wydatki majątkowe</t>
  </si>
  <si>
    <t>2)</t>
  </si>
  <si>
    <t>Regionalny Program Operacyjny (RPO)</t>
  </si>
  <si>
    <t>Urząd Miejski</t>
  </si>
  <si>
    <t>3)</t>
  </si>
  <si>
    <t>Program Rozwoju Obszarów Wiejskich na lata 2007-2013.</t>
  </si>
  <si>
    <t>4)</t>
  </si>
  <si>
    <t>Programu „Europejskiej Współpracy Terytorialnej” – „Współpraca Transgraniczna” Krajów Meklemburgia – Pomorze Przednie/ Brandenburgia i Rzeczpospolitej Polskiej (Województwo Zachodniopomorskie) 2007 – 2013.</t>
  </si>
  <si>
    <t>Program Operacyjny Infrastruktura i Środowisko „Termomodernizacja obiektów użyteczności publicznej Powiatu Myśliborskiego: Termomodernizacja Szkoły Podstawowej Nr 1 i  Gimnazjum Publicznego Nr 1”</t>
  </si>
  <si>
    <t>b)</t>
  </si>
  <si>
    <t>wieloletnie programy, projekty lub zadania związane z umowami partnerstwa publiczno-prywatnego - razem, z tego:</t>
  </si>
  <si>
    <t>program (nazwa …. + wyszczególnienie wydatków na jego realizację)</t>
  </si>
  <si>
    <t>c)</t>
  </si>
  <si>
    <t>wieloletnie pozostałe programy, projekty lub zadania - razem, z tego:</t>
  </si>
  <si>
    <t>d)</t>
  </si>
  <si>
    <t>wieloletnie umowy, których realizacja w roku budżetowym i w latach następnych jest niezbędna dla zapewnienia ciągłości działania j.s.t. i których płatności przypadają w okresie dłuższym niż rok - razem, z tego:</t>
  </si>
  <si>
    <t xml:space="preserve">- wydatki bieżące </t>
  </si>
  <si>
    <t>e)</t>
  </si>
  <si>
    <t>wieloletnie gwarancje i poręczenia udzielane przez j.s.t. - razem - wydatki bieżące, z tego:</t>
  </si>
  <si>
    <t xml:space="preserve">PRZEDSIĘWZIĘCIA REALIZOWANE W LATACH 2012 – 2023 </t>
  </si>
  <si>
    <t>Program Operacyjny Kapitał Ludzki (OPS)</t>
  </si>
  <si>
    <t>2.1)</t>
  </si>
  <si>
    <t>Przebudowa nawierzchni ulic i chodników wraz zagospodarowaniem terenów na terenie starego miasta</t>
  </si>
  <si>
    <t>2.2)</t>
  </si>
  <si>
    <t>Zagospodarowanie Parku w Delcie Młynówki.</t>
  </si>
  <si>
    <t>2.3)</t>
  </si>
  <si>
    <t>Przebudowa ulic Żabiej i Podwale wraz z budową parkingów i zagospodarowaniem terenu.</t>
  </si>
  <si>
    <t>2.4)</t>
  </si>
  <si>
    <t>Przebudowa ulicy Łokietka.</t>
  </si>
  <si>
    <t>2.5)</t>
  </si>
  <si>
    <t>Modernizacja (termomodernizacja) Przedszkola Miejskiego Nr 2 w Barlinku oraz zagospodarowanie terenu.</t>
  </si>
  <si>
    <t>2.6)</t>
  </si>
  <si>
    <t>Modernizacja (termomodernizacja) Ośrodka Pomocy Społecznej.</t>
  </si>
  <si>
    <t>2.7)</t>
  </si>
  <si>
    <t>Przebudowa ulicy Flukowskiego.</t>
  </si>
  <si>
    <t>2.8)</t>
  </si>
  <si>
    <t>Przebudowa obiektu przy ul. Gorzowskiej na Bibliotekę Publiczną w Barlinku</t>
  </si>
  <si>
    <t>2.9)</t>
  </si>
  <si>
    <t>Kraina lasów i jezior - promocja Gminy Barlinek</t>
  </si>
  <si>
    <t>3.1)</t>
  </si>
  <si>
    <t>Poprawa zagospodarowania infrastruktury sportowej wsi Mostkowo w gminie Barlinek.</t>
  </si>
  <si>
    <t>3.2)</t>
  </si>
  <si>
    <t>Rozbudowa oraz zmiana sposobu użytkowania budynku usługowego na świetlicę wiejską wraz z jej wyposażeniem i zagospodarowaniem terenu w miejscowości Dzikowo, gmina Barlinek.</t>
  </si>
  <si>
    <t>3.3)</t>
  </si>
  <si>
    <t>Rozbudowa obiektu budowlanego na świetlice wiejską wraz z wyposażeniem i zagospodarowaniem terenu w miejscowości Równo, gmina Barlinek</t>
  </si>
  <si>
    <t>3.4)</t>
  </si>
  <si>
    <t>Zagospodarowanie terenów parkowych w miejscowości Dzikowo i Mostkowo, gmina Barlinek.</t>
  </si>
  <si>
    <t>Programu „Europejskiej Współpracy Terytorialnej” – „Współpraca Transgraniczna” Krajów Meklemburgia – Pomorze Przednie/ Brandenburgia i Rzeczpospolitej Polskiej (Województwo Zachodniopomorskie) 2007 – 2013 „Rozwój infrastruktury sportowej Prenzlau-Barlinek (przebudowa boiska treningowego wraz z zapleczem socjalno-technicznym w Barlinku”</t>
  </si>
  <si>
    <r>
      <t>Uzbrojenie terenów na Osiedlu Górny Taras (</t>
    </r>
    <r>
      <rPr>
        <sz val="22"/>
        <color indexed="8"/>
        <rFont val="Times New Roman"/>
        <family val="1"/>
      </rPr>
      <t>Budowa sieci kanalizacyjnej na osiedlu Górny Taras)</t>
    </r>
  </si>
  <si>
    <t>Rekultywacja nieczynnych składowisk odpadów w miejscowościach Rychnów i Strąpie</t>
  </si>
  <si>
    <t>Zagospodarowanie terenu przy Publicznym Gimnazjum nr 1 w Barlinku wraz z przebudową trybun.</t>
  </si>
  <si>
    <t>Modernizacja strażnicy OSP w Barlinku na potrzeby Gminnego Centrum Ratownictwa.</t>
  </si>
  <si>
    <t>5)</t>
  </si>
  <si>
    <t>Budowa ulicy Wiśniowej</t>
  </si>
  <si>
    <t>6)</t>
  </si>
  <si>
    <t>Adaptacja budynku usługowo – mieszkalnego na cele administracyjne -Urząd Miejski.</t>
  </si>
  <si>
    <t>7)</t>
  </si>
  <si>
    <t>Modernizacja wodociągu w Lutówku</t>
  </si>
  <si>
    <t>8)</t>
  </si>
  <si>
    <t>Zaopatrzenie w wodę mieszkańców m. Okunie gm. Barlinek</t>
  </si>
  <si>
    <t>9)</t>
  </si>
  <si>
    <t>Modernizacja boiska do piłki nożnej przy ul. Strzeleckiej.</t>
  </si>
  <si>
    <t>10)</t>
  </si>
  <si>
    <t>Budowa obejścia m. Barlinek w ciągu drogi nr 151</t>
  </si>
  <si>
    <t>11)</t>
  </si>
  <si>
    <t>Budowa budynku komunalnego przez BTBS partycypacja w kosztach</t>
  </si>
  <si>
    <t>Umowa na utrzymanie cmentarzy - razem, w tym:</t>
  </si>
  <si>
    <t>Umowa oczyszczanie miasta - razem, w tym:</t>
  </si>
  <si>
    <t>Umowa utrzymanie zieleni w miastach i gminach - razem, w tym:</t>
  </si>
  <si>
    <t>Umowa konserwację oświetlenia - razem, w tym:</t>
  </si>
  <si>
    <t>Umowa utrzymanie kanalizacji deszczowej - razem, w tym:</t>
  </si>
  <si>
    <t>Umowa o nadzór autorski programu LEX - razem, w tym:</t>
  </si>
  <si>
    <t>Umowa na konserwację oraz remont monitoringu miejskiego , w tym:</t>
  </si>
  <si>
    <t>Przedsiębiorstwo Wodociągowo Kanalizacyjne Płonia-”Przebudowa ujęcia wody wraz z budową nowej stacji uzdatniania wody w m. Nowa Dziedzina”</t>
  </si>
  <si>
    <t xml:space="preserve">Barlinecki Ośrodek Kultury </t>
  </si>
  <si>
    <t>Umowa (nazwa + wyszczególnienie wydatków na program) …. - 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</si>
</sst>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9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i/>
      <sz val="10"/>
      <color indexed="8"/>
      <name val="Times New Roman"/>
      <family val="1"/>
    </font>
    <font>
      <i/>
      <sz val="14"/>
      <name val="Times New Roman"/>
      <family val="1"/>
    </font>
    <font>
      <b/>
      <i/>
      <sz val="9"/>
      <name val="Czcionka tekstu podstawowego"/>
      <family val="0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Czcionka tekstu podstawowego"/>
      <family val="0"/>
    </font>
    <font>
      <b/>
      <sz val="10"/>
      <color indexed="10"/>
      <name val="Czcionka tekstu podstawowego"/>
      <family val="0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sz val="26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b/>
      <sz val="22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vertical="center" wrapText="1"/>
      <protection/>
    </xf>
    <xf numFmtId="3" fontId="10" fillId="2" borderId="1" xfId="0" applyNumberFormat="1" applyFont="1" applyFill="1" applyBorder="1" applyAlignment="1" applyProtection="1">
      <alignment horizontal="center" vertical="center" wrapText="1"/>
      <protection/>
    </xf>
    <xf numFmtId="164" fontId="11" fillId="2" borderId="1" xfId="0" applyNumberFormat="1" applyFont="1" applyFill="1" applyBorder="1" applyAlignment="1" applyProtection="1">
      <alignment horizontal="center" vertical="center" wrapText="1"/>
      <protection/>
    </xf>
    <xf numFmtId="3" fontId="11" fillId="2" borderId="1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 applyProtection="1">
      <alignment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vertical="center" wrapText="1"/>
      <protection/>
    </xf>
    <xf numFmtId="3" fontId="14" fillId="0" borderId="1" xfId="17" applyNumberFormat="1" applyFont="1" applyBorder="1" applyAlignment="1">
      <alignment horizontal="center" vertical="center"/>
      <protection/>
    </xf>
    <xf numFmtId="164" fontId="15" fillId="2" borderId="1" xfId="0" applyNumberFormat="1" applyFont="1" applyFill="1" applyBorder="1" applyAlignment="1" applyProtection="1">
      <alignment horizontal="center" vertical="center" wrapText="1"/>
      <protection/>
    </xf>
    <xf numFmtId="3" fontId="13" fillId="0" borderId="1" xfId="0" applyNumberFormat="1" applyFont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/>
    </xf>
    <xf numFmtId="3" fontId="14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 applyProtection="1">
      <alignment horizontal="center" vertical="center" wrapText="1"/>
      <protection/>
    </xf>
    <xf numFmtId="3" fontId="15" fillId="0" borderId="1" xfId="0" applyNumberFormat="1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>
      <alignment/>
    </xf>
    <xf numFmtId="0" fontId="15" fillId="0" borderId="1" xfId="0" applyFont="1" applyBorder="1" applyAlignment="1" applyProtection="1">
      <alignment horizontal="right"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textRotation="90" wrapText="1"/>
      <protection/>
    </xf>
    <xf numFmtId="0" fontId="18" fillId="3" borderId="1" xfId="0" applyFont="1" applyFill="1" applyBorder="1" applyAlignment="1" applyProtection="1">
      <alignment horizontal="right" vertical="center" wrapText="1"/>
      <protection/>
    </xf>
    <xf numFmtId="3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1" xfId="0" applyNumberFormat="1" applyFont="1" applyFill="1" applyBorder="1" applyAlignment="1" applyProtection="1">
      <alignment horizontal="center" vertical="center" wrapText="1"/>
      <protection/>
    </xf>
    <xf numFmtId="3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/>
    </xf>
    <xf numFmtId="0" fontId="15" fillId="0" borderId="0" xfId="0" applyFont="1" applyAlignment="1">
      <alignment/>
    </xf>
    <xf numFmtId="3" fontId="22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right" vertical="center" wrapText="1"/>
      <protection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vertical="center" wrapText="1"/>
      <protection/>
    </xf>
    <xf numFmtId="3" fontId="10" fillId="0" borderId="1" xfId="0" applyNumberFormat="1" applyFont="1" applyBorder="1" applyAlignment="1" applyProtection="1">
      <alignment horizontal="center" vertical="center" wrapText="1"/>
      <protection/>
    </xf>
    <xf numFmtId="3" fontId="11" fillId="0" borderId="1" xfId="0" applyNumberFormat="1" applyFont="1" applyBorder="1" applyAlignment="1" applyProtection="1">
      <alignment horizontal="center" vertical="center" wrapText="1"/>
      <protection/>
    </xf>
    <xf numFmtId="3" fontId="12" fillId="0" borderId="0" xfId="0" applyNumberFormat="1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3" fontId="3" fillId="0" borderId="0" xfId="0" applyNumberFormat="1" applyFont="1" applyAlignment="1" applyProtection="1">
      <alignment vertical="center" wrapText="1"/>
      <protection/>
    </xf>
    <xf numFmtId="0" fontId="24" fillId="0" borderId="1" xfId="0" applyFont="1" applyBorder="1" applyAlignment="1" applyProtection="1">
      <alignment horizontal="right" vertical="center" wrapText="1"/>
      <protection/>
    </xf>
    <xf numFmtId="3" fontId="25" fillId="0" borderId="1" xfId="0" applyNumberFormat="1" applyFont="1" applyBorder="1" applyAlignment="1" applyProtection="1">
      <alignment horizontal="right" vertical="center" wrapText="1"/>
      <protection/>
    </xf>
    <xf numFmtId="3" fontId="24" fillId="0" borderId="1" xfId="0" applyNumberFormat="1" applyFont="1" applyBorder="1" applyAlignment="1" applyProtection="1">
      <alignment horizontal="right" vertical="center" wrapText="1"/>
      <protection/>
    </xf>
    <xf numFmtId="3" fontId="25" fillId="0" borderId="1" xfId="0" applyNumberFormat="1" applyFont="1" applyBorder="1" applyAlignment="1" applyProtection="1">
      <alignment vertical="center" wrapText="1"/>
      <protection/>
    </xf>
    <xf numFmtId="3" fontId="26" fillId="0" borderId="0" xfId="0" applyNumberFormat="1" applyFont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3" fontId="14" fillId="0" borderId="1" xfId="17" applyNumberFormat="1" applyFont="1" applyFill="1" applyBorder="1" applyAlignment="1">
      <alignment horizontal="center" vertical="center"/>
      <protection/>
    </xf>
    <xf numFmtId="3" fontId="22" fillId="0" borderId="1" xfId="17" applyNumberFormat="1" applyFont="1" applyFill="1" applyBorder="1" applyAlignment="1">
      <alignment horizontal="center" vertical="center"/>
      <protection/>
    </xf>
    <xf numFmtId="3" fontId="14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 applyProtection="1">
      <alignment horizontal="center" vertical="center" wrapText="1"/>
      <protection/>
    </xf>
    <xf numFmtId="3" fontId="24" fillId="0" borderId="1" xfId="0" applyNumberFormat="1" applyFont="1" applyBorder="1" applyAlignment="1" applyProtection="1">
      <alignment horizontal="center" vertical="center" wrapText="1"/>
      <protection/>
    </xf>
    <xf numFmtId="3" fontId="10" fillId="0" borderId="1" xfId="0" applyNumberFormat="1" applyFont="1" applyBorder="1" applyAlignment="1" applyProtection="1">
      <alignment vertical="center" wrapText="1"/>
      <protection/>
    </xf>
    <xf numFmtId="3" fontId="26" fillId="0" borderId="0" xfId="0" applyNumberFormat="1" applyFont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 textRotation="90" wrapText="1"/>
      <protection/>
    </xf>
    <xf numFmtId="3" fontId="17" fillId="3" borderId="1" xfId="0" applyNumberFormat="1" applyFont="1" applyFill="1" applyBorder="1" applyAlignment="1" applyProtection="1">
      <alignment horizontal="center" vertical="center" wrapText="1"/>
      <protection/>
    </xf>
    <xf numFmtId="3" fontId="18" fillId="3" borderId="1" xfId="0" applyNumberFormat="1" applyFont="1" applyFill="1" applyBorder="1" applyAlignment="1" applyProtection="1">
      <alignment horizontal="center" vertical="center" wrapText="1"/>
      <protection/>
    </xf>
    <xf numFmtId="3" fontId="12" fillId="2" borderId="0" xfId="0" applyNumberFormat="1" applyFont="1" applyFill="1" applyAlignment="1" applyProtection="1">
      <alignment vertical="center" wrapText="1"/>
      <protection/>
    </xf>
    <xf numFmtId="3" fontId="13" fillId="0" borderId="1" xfId="0" applyNumberFormat="1" applyFont="1" applyBorder="1" applyAlignment="1" applyProtection="1">
      <alignment vertical="center" wrapText="1"/>
      <protection/>
    </xf>
    <xf numFmtId="3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1" xfId="0" applyNumberFormat="1" applyFont="1" applyFill="1" applyBorder="1" applyAlignment="1" applyProtection="1">
      <alignment vertical="center" wrapText="1"/>
      <protection/>
    </xf>
    <xf numFmtId="0" fontId="25" fillId="0" borderId="1" xfId="0" applyFont="1" applyBorder="1" applyAlignment="1" applyProtection="1">
      <alignment horizontal="center" vertical="center" wrapText="1"/>
      <protection/>
    </xf>
    <xf numFmtId="164" fontId="11" fillId="0" borderId="1" xfId="0" applyNumberFormat="1" applyFont="1" applyBorder="1" applyAlignment="1" applyProtection="1">
      <alignment horizontal="center" vertical="center" wrapText="1"/>
      <protection/>
    </xf>
    <xf numFmtId="3" fontId="12" fillId="0" borderId="0" xfId="0" applyNumberFormat="1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3" fontId="3" fillId="0" borderId="0" xfId="0" applyNumberFormat="1" applyFont="1" applyAlignment="1" applyProtection="1">
      <alignment horizontal="center" vertical="center" wrapText="1"/>
      <protection/>
    </xf>
    <xf numFmtId="3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0" fontId="13" fillId="0" borderId="1" xfId="0" applyNumberFormat="1" applyFont="1" applyBorder="1" applyAlignment="1" applyProtection="1">
      <alignment horizontal="center" vertical="center" wrapText="1"/>
      <protection/>
    </xf>
    <xf numFmtId="10" fontId="15" fillId="0" borderId="1" xfId="0" applyNumberFormat="1" applyFont="1" applyBorder="1" applyAlignment="1" applyProtection="1">
      <alignment horizontal="center" vertical="center" wrapText="1"/>
      <protection/>
    </xf>
    <xf numFmtId="10" fontId="25" fillId="0" borderId="1" xfId="0" applyNumberFormat="1" applyFont="1" applyBorder="1" applyAlignment="1" applyProtection="1">
      <alignment horizontal="center" vertical="center" wrapText="1"/>
      <protection/>
    </xf>
    <xf numFmtId="10" fontId="24" fillId="0" borderId="1" xfId="0" applyNumberFormat="1" applyFont="1" applyBorder="1" applyAlignment="1" applyProtection="1">
      <alignment horizontal="center" vertical="center" wrapText="1"/>
      <protection/>
    </xf>
    <xf numFmtId="3" fontId="25" fillId="2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3" fontId="10" fillId="3" borderId="1" xfId="0" applyNumberFormat="1" applyFont="1" applyFill="1" applyBorder="1" applyAlignment="1" applyProtection="1">
      <alignment horizontal="center" vertical="center" wrapText="1"/>
      <protection/>
    </xf>
    <xf numFmtId="3" fontId="11" fillId="3" borderId="1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6" fillId="0" borderId="2" xfId="0" applyFont="1" applyBorder="1" applyAlignment="1">
      <alignment wrapText="1"/>
    </xf>
    <xf numFmtId="0" fontId="36" fillId="0" borderId="1" xfId="0" applyFont="1" applyBorder="1" applyAlignment="1">
      <alignment wrapText="1"/>
    </xf>
    <xf numFmtId="164" fontId="37" fillId="0" borderId="1" xfId="0" applyNumberFormat="1" applyFont="1" applyBorder="1" applyAlignment="1">
      <alignment wrapText="1"/>
    </xf>
    <xf numFmtId="0" fontId="37" fillId="0" borderId="1" xfId="0" applyFont="1" applyBorder="1" applyAlignment="1">
      <alignment wrapText="1"/>
    </xf>
    <xf numFmtId="3" fontId="36" fillId="0" borderId="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0" fontId="36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/>
    </xf>
    <xf numFmtId="3" fontId="35" fillId="0" borderId="1" xfId="0" applyNumberFormat="1" applyFont="1" applyBorder="1" applyAlignment="1" applyProtection="1">
      <alignment horizontal="center" vertical="center" wrapText="1"/>
      <protection/>
    </xf>
    <xf numFmtId="3" fontId="32" fillId="0" borderId="0" xfId="0" applyNumberFormat="1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 applyProtection="1">
      <alignment horizontal="center" vertical="center" wrapText="1"/>
      <protection locked="0"/>
    </xf>
    <xf numFmtId="3" fontId="36" fillId="0" borderId="1" xfId="0" applyNumberFormat="1" applyFont="1" applyBorder="1" applyAlignment="1" applyProtection="1">
      <alignment horizontal="center" vertical="center" wrapText="1"/>
      <protection locked="0"/>
    </xf>
    <xf numFmtId="164" fontId="37" fillId="0" borderId="1" xfId="0" applyNumberFormat="1" applyFont="1" applyBorder="1" applyAlignment="1" applyProtection="1">
      <alignment horizontal="center" vertical="center" wrapText="1"/>
      <protection locked="0"/>
    </xf>
    <xf numFmtId="3" fontId="37" fillId="0" borderId="1" xfId="0" applyNumberFormat="1" applyFont="1" applyBorder="1" applyAlignment="1" applyProtection="1">
      <alignment horizontal="center" vertical="center" wrapText="1"/>
      <protection locked="0"/>
    </xf>
    <xf numFmtId="3" fontId="29" fillId="0" borderId="0" xfId="0" applyNumberFormat="1" applyFont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vertical="top" wrapText="1"/>
      <protection locked="0"/>
    </xf>
    <xf numFmtId="164" fontId="35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/>
      <protection locked="0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0" fontId="36" fillId="0" borderId="1" xfId="0" applyFont="1" applyBorder="1" applyAlignment="1">
      <alignment horizontal="center" vertical="center" wrapText="1"/>
    </xf>
    <xf numFmtId="3" fontId="36" fillId="0" borderId="1" xfId="0" applyNumberFormat="1" applyFont="1" applyBorder="1" applyAlignment="1" applyProtection="1">
      <alignment horizontal="center" vertical="center" wrapText="1"/>
      <protection/>
    </xf>
    <xf numFmtId="3" fontId="29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3" fontId="29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8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horizontal="center" vertical="center" wrapText="1"/>
    </xf>
    <xf numFmtId="0" fontId="40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vertical="top" wrapText="1"/>
    </xf>
    <xf numFmtId="3" fontId="31" fillId="0" borderId="1" xfId="0" applyNumberFormat="1" applyFont="1" applyBorder="1" applyAlignment="1" applyProtection="1">
      <alignment horizontal="center" vertical="center" wrapText="1"/>
      <protection locked="0"/>
    </xf>
    <xf numFmtId="164" fontId="44" fillId="0" borderId="1" xfId="0" applyNumberFormat="1" applyFont="1" applyBorder="1" applyAlignment="1" applyProtection="1">
      <alignment horizontal="center" vertical="center" wrapText="1"/>
      <protection locked="0"/>
    </xf>
    <xf numFmtId="3" fontId="31" fillId="0" borderId="1" xfId="0" applyNumberFormat="1" applyFont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2" fillId="0" borderId="1" xfId="0" applyFont="1" applyBorder="1" applyAlignment="1">
      <alignment vertical="top" wrapText="1"/>
    </xf>
    <xf numFmtId="0" fontId="42" fillId="0" borderId="1" xfId="0" applyFont="1" applyBorder="1" applyAlignment="1">
      <alignment wrapText="1"/>
    </xf>
    <xf numFmtId="4" fontId="43" fillId="0" borderId="1" xfId="0" applyNumberFormat="1" applyFont="1" applyBorder="1" applyAlignment="1">
      <alignment wrapText="1"/>
    </xf>
    <xf numFmtId="3" fontId="42" fillId="0" borderId="1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0" fontId="42" fillId="0" borderId="2" xfId="0" applyFont="1" applyBorder="1" applyAlignment="1">
      <alignment vertical="top" wrapText="1"/>
    </xf>
    <xf numFmtId="0" fontId="31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2" fillId="0" borderId="3" xfId="0" applyFont="1" applyBorder="1" applyAlignment="1">
      <alignment vertical="top" wrapText="1"/>
    </xf>
    <xf numFmtId="0" fontId="31" fillId="0" borderId="3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31" fillId="0" borderId="1" xfId="0" applyFont="1" applyBorder="1" applyAlignment="1" applyProtection="1">
      <alignment vertical="top" wrapText="1"/>
      <protection locked="0"/>
    </xf>
    <xf numFmtId="3" fontId="31" fillId="0" borderId="1" xfId="0" applyNumberFormat="1" applyFont="1" applyBorder="1" applyAlignment="1" applyProtection="1">
      <alignment horizontal="center" vertical="center" wrapText="1"/>
      <protection/>
    </xf>
    <xf numFmtId="4" fontId="44" fillId="0" borderId="1" xfId="0" applyNumberFormat="1" applyFont="1" applyBorder="1" applyAlignment="1" applyProtection="1">
      <alignment horizontal="center" vertical="center" wrapText="1"/>
      <protection/>
    </xf>
    <xf numFmtId="3" fontId="4" fillId="0" borderId="0" xfId="0" applyNumberFormat="1" applyFont="1" applyBorder="1" applyAlignment="1" applyProtection="1">
      <alignment horizontal="center" vertical="center" wrapText="1"/>
      <protection/>
    </xf>
    <xf numFmtId="0" fontId="42" fillId="0" borderId="1" xfId="0" applyFont="1" applyBorder="1" applyAlignment="1" applyProtection="1">
      <alignment horizontal="center" vertical="center" wrapText="1"/>
      <protection locked="0"/>
    </xf>
    <xf numFmtId="164" fontId="43" fillId="0" borderId="1" xfId="0" applyNumberFormat="1" applyFont="1" applyBorder="1" applyAlignment="1" applyProtection="1">
      <alignment horizontal="center" vertical="center" wrapText="1"/>
      <protection locked="0"/>
    </xf>
    <xf numFmtId="4" fontId="43" fillId="0" borderId="1" xfId="0" applyNumberFormat="1" applyFont="1" applyBorder="1" applyAlignment="1" applyProtection="1">
      <alignment horizontal="center" vertical="center" wrapText="1"/>
      <protection locked="0"/>
    </xf>
    <xf numFmtId="3" fontId="36" fillId="0" borderId="0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vertical="center" wrapText="1"/>
    </xf>
    <xf numFmtId="3" fontId="42" fillId="0" borderId="1" xfId="0" applyNumberFormat="1" applyFont="1" applyBorder="1" applyAlignment="1" applyProtection="1">
      <alignment horizontal="center" vertical="center"/>
      <protection locked="0"/>
    </xf>
    <xf numFmtId="4" fontId="43" fillId="0" borderId="1" xfId="0" applyNumberFormat="1" applyFont="1" applyBorder="1" applyAlignment="1" applyProtection="1">
      <alignment horizontal="center" vertical="center"/>
      <protection locked="0"/>
    </xf>
    <xf numFmtId="0" fontId="42" fillId="0" borderId="1" xfId="0" applyFont="1" applyBorder="1" applyAlignment="1" applyProtection="1">
      <alignment vertical="top" wrapText="1"/>
      <protection locked="0"/>
    </xf>
    <xf numFmtId="0" fontId="31" fillId="0" borderId="1" xfId="0" applyFont="1" applyBorder="1" applyAlignment="1">
      <alignment horizontal="right" vertical="top" wrapText="1"/>
    </xf>
    <xf numFmtId="0" fontId="31" fillId="0" borderId="0" xfId="0" applyFont="1" applyAlignment="1">
      <alignment horizontal="justify" vertical="top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right" vertical="top" wrapText="1"/>
    </xf>
    <xf numFmtId="3" fontId="44" fillId="0" borderId="1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/>
    </xf>
    <xf numFmtId="0" fontId="31" fillId="0" borderId="0" xfId="0" applyFont="1" applyAlignment="1">
      <alignment vertical="top"/>
    </xf>
    <xf numFmtId="0" fontId="42" fillId="0" borderId="1" xfId="0" applyFont="1" applyBorder="1" applyAlignment="1">
      <alignment horizontal="center" vertical="top" wrapText="1"/>
    </xf>
    <xf numFmtId="3" fontId="42" fillId="0" borderId="1" xfId="0" applyNumberFormat="1" applyFont="1" applyBorder="1" applyAlignment="1" applyProtection="1">
      <alignment horizontal="center" vertical="center" wrapText="1"/>
      <protection/>
    </xf>
    <xf numFmtId="4" fontId="43" fillId="0" borderId="1" xfId="0" applyNumberFormat="1" applyFont="1" applyBorder="1" applyAlignment="1" applyProtection="1">
      <alignment horizontal="center" vertical="center" wrapText="1"/>
      <protection/>
    </xf>
    <xf numFmtId="3" fontId="36" fillId="0" borderId="0" xfId="0" applyNumberFormat="1" applyFont="1" applyBorder="1" applyAlignment="1" applyProtection="1">
      <alignment horizontal="center" vertical="center" wrapText="1"/>
      <protection/>
    </xf>
    <xf numFmtId="0" fontId="31" fillId="0" borderId="4" xfId="0" applyFont="1" applyBorder="1" applyAlignment="1">
      <alignment horizontal="center" vertical="top" wrapText="1"/>
    </xf>
    <xf numFmtId="0" fontId="45" fillId="0" borderId="1" xfId="0" applyFont="1" applyBorder="1" applyAlignment="1" applyProtection="1">
      <alignment vertical="top" wrapText="1"/>
      <protection locked="0"/>
    </xf>
    <xf numFmtId="0" fontId="31" fillId="0" borderId="3" xfId="0" applyFont="1" applyBorder="1" applyAlignment="1">
      <alignment vertical="top" wrapText="1"/>
    </xf>
    <xf numFmtId="0" fontId="42" fillId="0" borderId="1" xfId="0" applyFont="1" applyBorder="1" applyAlignment="1">
      <alignment/>
    </xf>
    <xf numFmtId="0" fontId="31" fillId="0" borderId="0" xfId="0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2" fillId="0" borderId="0" xfId="0" applyFont="1" applyBorder="1" applyAlignment="1">
      <alignment horizontal="center" vertical="top" wrapText="1"/>
    </xf>
    <xf numFmtId="164" fontId="42" fillId="0" borderId="1" xfId="0" applyNumberFormat="1" applyFont="1" applyBorder="1" applyAlignment="1" applyProtection="1">
      <alignment horizontal="center" vertical="center" wrapText="1"/>
      <protection locked="0"/>
    </xf>
    <xf numFmtId="4" fontId="42" fillId="0" borderId="1" xfId="0" applyNumberFormat="1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horizontal="center" vertical="top"/>
    </xf>
    <xf numFmtId="0" fontId="42" fillId="0" borderId="1" xfId="0" applyFont="1" applyBorder="1" applyAlignment="1">
      <alignment vertical="top"/>
    </xf>
    <xf numFmtId="164" fontId="31" fillId="0" borderId="1" xfId="0" applyNumberFormat="1" applyFont="1" applyBorder="1" applyAlignment="1" applyProtection="1">
      <alignment horizontal="center" vertical="center" wrapText="1"/>
      <protection locked="0"/>
    </xf>
    <xf numFmtId="4" fontId="31" fillId="0" borderId="1" xfId="0" applyNumberFormat="1" applyFont="1" applyBorder="1" applyAlignment="1" applyProtection="1">
      <alignment horizontal="center" vertical="center" wrapText="1"/>
      <protection/>
    </xf>
    <xf numFmtId="3" fontId="42" fillId="0" borderId="1" xfId="0" applyNumberFormat="1" applyFont="1" applyBorder="1" applyAlignment="1">
      <alignment horizontal="center" wrapText="1"/>
    </xf>
    <xf numFmtId="4" fontId="43" fillId="0" borderId="1" xfId="0" applyNumberFormat="1" applyFont="1" applyBorder="1" applyAlignment="1">
      <alignment horizontal="center" wrapText="1"/>
    </xf>
    <xf numFmtId="4" fontId="42" fillId="0" borderId="1" xfId="0" applyNumberFormat="1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>
      <alignment horizontal="center" vertical="center"/>
    </xf>
    <xf numFmtId="0" fontId="42" fillId="0" borderId="1" xfId="0" applyFont="1" applyBorder="1" applyAlignment="1" applyProtection="1">
      <alignment vertical="center" wrapText="1"/>
      <protection locked="0"/>
    </xf>
    <xf numFmtId="0" fontId="42" fillId="0" borderId="4" xfId="0" applyFont="1" applyBorder="1" applyAlignment="1">
      <alignment vertical="top" wrapText="1"/>
    </xf>
    <xf numFmtId="0" fontId="42" fillId="0" borderId="1" xfId="0" applyFont="1" applyBorder="1" applyAlignment="1" applyProtection="1">
      <alignment horizontal="center" vertical="top" wrapText="1"/>
      <protection locked="0"/>
    </xf>
    <xf numFmtId="0" fontId="42" fillId="0" borderId="1" xfId="0" applyFont="1" applyBorder="1" applyAlignment="1">
      <alignment horizontal="center" vertical="top"/>
    </xf>
    <xf numFmtId="3" fontId="42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top"/>
    </xf>
    <xf numFmtId="3" fontId="42" fillId="0" borderId="1" xfId="0" applyNumberFormat="1" applyFont="1" applyBorder="1" applyAlignment="1" applyProtection="1">
      <alignment horizontal="center" vertical="top"/>
      <protection locked="0"/>
    </xf>
    <xf numFmtId="3" fontId="36" fillId="0" borderId="0" xfId="0" applyNumberFormat="1" applyFont="1" applyBorder="1" applyAlignment="1" applyProtection="1">
      <alignment horizontal="center" vertical="top" wrapText="1"/>
      <protection locked="0"/>
    </xf>
    <xf numFmtId="0" fontId="36" fillId="0" borderId="0" xfId="0" applyFont="1" applyAlignment="1">
      <alignment vertical="top"/>
    </xf>
    <xf numFmtId="0" fontId="46" fillId="0" borderId="1" xfId="0" applyFont="1" applyBorder="1" applyAlignment="1">
      <alignment wrapText="1"/>
    </xf>
    <xf numFmtId="0" fontId="46" fillId="0" borderId="1" xfId="0" applyFont="1" applyBorder="1" applyAlignment="1">
      <alignment horizontal="center" vertical="top" wrapText="1"/>
    </xf>
    <xf numFmtId="0" fontId="46" fillId="0" borderId="1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horizontal="center" vertical="center" wrapText="1"/>
      <protection locked="0"/>
    </xf>
    <xf numFmtId="3" fontId="46" fillId="0" borderId="1" xfId="0" applyNumberFormat="1" applyFont="1" applyBorder="1" applyAlignment="1" applyProtection="1">
      <alignment horizontal="center" vertical="center"/>
      <protection locked="0"/>
    </xf>
    <xf numFmtId="3" fontId="47" fillId="0" borderId="1" xfId="0" applyNumberFormat="1" applyFont="1" applyBorder="1" applyAlignment="1" applyProtection="1">
      <alignment horizontal="center" vertical="center"/>
      <protection locked="0"/>
    </xf>
    <xf numFmtId="4" fontId="47" fillId="0" borderId="1" xfId="0" applyNumberFormat="1" applyFont="1" applyBorder="1" applyAlignment="1" applyProtection="1">
      <alignment horizontal="center" vertical="center"/>
      <protection locked="0"/>
    </xf>
    <xf numFmtId="3" fontId="46" fillId="0" borderId="1" xfId="0" applyNumberFormat="1" applyFont="1" applyBorder="1" applyAlignment="1" applyProtection="1">
      <alignment horizontal="center" vertical="center" wrapText="1"/>
      <protection locked="0"/>
    </xf>
    <xf numFmtId="3" fontId="46" fillId="0" borderId="0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/>
    </xf>
    <xf numFmtId="0" fontId="10" fillId="3" borderId="1" xfId="0" applyFont="1" applyFill="1" applyBorder="1" applyAlignment="1" applyProtection="1">
      <alignment horizontal="center" vertical="center" textRotation="90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3" fontId="10" fillId="0" borderId="1" xfId="0" applyNumberFormat="1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>
      <alignment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3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Prognoza i kredyty-tabele 200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&#322;ata%2018%204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ług spłata"/>
    </sheetNames>
    <sheetDataSet>
      <sheetData sheetId="0">
        <row r="16">
          <cell r="C16">
            <v>4489009</v>
          </cell>
          <cell r="D16">
            <v>3695000</v>
          </cell>
          <cell r="E16">
            <v>3700000</v>
          </cell>
          <cell r="F16">
            <v>2200000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tabSelected="1" view="pageBreakPreview" zoomScale="50" zoomScaleSheetLayoutView="50" workbookViewId="0" topLeftCell="G1">
      <pane ySplit="5" topLeftCell="BM72" activePane="bottomLeft" state="frozen"/>
      <selection pane="topLeft" activeCell="G1" sqref="G1"/>
      <selection pane="bottomLeft" activeCell="Q34" sqref="Q34"/>
    </sheetView>
  </sheetViews>
  <sheetFormatPr defaultColWidth="8.796875" defaultRowHeight="21.75" customHeight="1"/>
  <cols>
    <col min="1" max="1" width="8.69921875" style="1" customWidth="1"/>
    <col min="2" max="2" width="89.59765625" style="2" customWidth="1"/>
    <col min="3" max="6" width="0" style="1" hidden="1" customWidth="1"/>
    <col min="7" max="7" width="19.19921875" style="1" customWidth="1"/>
    <col min="8" max="8" width="0" style="1" hidden="1" customWidth="1"/>
    <col min="9" max="9" width="23.69921875" style="1" customWidth="1"/>
    <col min="10" max="10" width="16.5" style="1" customWidth="1"/>
    <col min="11" max="11" width="14.69921875" style="1" customWidth="1"/>
    <col min="12" max="12" width="17" style="1" customWidth="1"/>
    <col min="13" max="13" width="16" style="2" customWidth="1"/>
    <col min="14" max="14" width="16.5" style="2" customWidth="1"/>
    <col min="15" max="15" width="15.69921875" style="2" customWidth="1"/>
    <col min="16" max="16" width="16.69921875" style="2" customWidth="1"/>
    <col min="17" max="17" width="16.19921875" style="2" customWidth="1"/>
    <col min="18" max="18" width="16" style="2" customWidth="1"/>
    <col min="19" max="19" width="15.5" style="2" customWidth="1"/>
    <col min="20" max="20" width="14.8984375" style="2" customWidth="1"/>
    <col min="21" max="16384" width="12.19921875" style="2" customWidth="1"/>
  </cols>
  <sheetData>
    <row r="1" spans="1:20" ht="30" customHeigh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ht="21.75" customHeight="1">
      <c r="A2" s="254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1:20" s="1" customFormat="1" ht="24.75" customHeight="1">
      <c r="A3" s="248" t="s">
        <v>2</v>
      </c>
      <c r="B3" s="248" t="s">
        <v>3</v>
      </c>
      <c r="C3" s="248" t="s">
        <v>4</v>
      </c>
      <c r="D3" s="248"/>
      <c r="E3" s="248"/>
      <c r="F3" s="4"/>
      <c r="G3" s="248" t="s">
        <v>5</v>
      </c>
      <c r="H3" s="4"/>
      <c r="I3" s="248" t="s">
        <v>6</v>
      </c>
      <c r="J3" s="248" t="s">
        <v>7</v>
      </c>
      <c r="K3" s="248"/>
      <c r="L3" s="248"/>
      <c r="M3" s="248"/>
      <c r="N3" s="248"/>
      <c r="O3" s="248"/>
      <c r="P3" s="248"/>
      <c r="Q3" s="248"/>
      <c r="R3" s="248"/>
      <c r="S3" s="248"/>
      <c r="T3" s="248"/>
    </row>
    <row r="4" spans="1:20" s="1" customFormat="1" ht="47.25" customHeight="1">
      <c r="A4" s="248"/>
      <c r="B4" s="248"/>
      <c r="C4" s="5" t="s">
        <v>8</v>
      </c>
      <c r="D4" s="3" t="s">
        <v>9</v>
      </c>
      <c r="E4" s="3" t="s">
        <v>10</v>
      </c>
      <c r="F4" s="6" t="s">
        <v>11</v>
      </c>
      <c r="G4" s="248" t="s">
        <v>12</v>
      </c>
      <c r="H4" s="4" t="s">
        <v>4</v>
      </c>
      <c r="I4" s="248"/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</row>
    <row r="5" spans="1:20" s="1" customFormat="1" ht="17.2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6">
        <v>6</v>
      </c>
      <c r="G5" s="7">
        <v>6</v>
      </c>
      <c r="H5" s="6">
        <v>8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</row>
    <row r="6" spans="1:20" s="13" customFormat="1" ht="49.5" customHeight="1">
      <c r="A6" s="8" t="s">
        <v>24</v>
      </c>
      <c r="B6" s="9" t="s">
        <v>25</v>
      </c>
      <c r="C6" s="10">
        <f>C7+C8</f>
        <v>40781807</v>
      </c>
      <c r="D6" s="10">
        <f>D7+D8</f>
        <v>41646128.88</v>
      </c>
      <c r="E6" s="10">
        <f>E7+E8</f>
        <v>47129998.46</v>
      </c>
      <c r="F6" s="11">
        <f aca="true" t="shared" si="0" ref="F6:F14">H6/G6*100</f>
        <v>49.897635243504006</v>
      </c>
      <c r="G6" s="10">
        <f aca="true" t="shared" si="1" ref="G6:T6">G7+G8</f>
        <v>50891153.15</v>
      </c>
      <c r="H6" s="12">
        <f t="shared" si="1"/>
        <v>25393481.97</v>
      </c>
      <c r="I6" s="10">
        <f t="shared" si="1"/>
        <v>54958224</v>
      </c>
      <c r="J6" s="10">
        <f t="shared" si="1"/>
        <v>55539671</v>
      </c>
      <c r="K6" s="10">
        <f t="shared" si="1"/>
        <v>58657345.25</v>
      </c>
      <c r="L6" s="10">
        <f t="shared" si="1"/>
        <v>60928666.59875</v>
      </c>
      <c r="M6" s="10">
        <f t="shared" si="1"/>
        <v>60516672.252731256</v>
      </c>
      <c r="N6" s="10">
        <f t="shared" si="1"/>
        <v>60424422.33652222</v>
      </c>
      <c r="O6" s="10">
        <f t="shared" si="1"/>
        <v>61330788.671570055</v>
      </c>
      <c r="P6" s="10">
        <f t="shared" si="1"/>
        <v>60960174.0203936</v>
      </c>
      <c r="Q6" s="10">
        <f t="shared" si="1"/>
        <v>60674576.63069951</v>
      </c>
      <c r="R6" s="10">
        <f t="shared" si="1"/>
        <v>61584695.28016</v>
      </c>
      <c r="S6" s="10">
        <f t="shared" si="1"/>
        <v>62508465.7093624</v>
      </c>
      <c r="T6" s="10">
        <f t="shared" si="1"/>
        <v>63446092.69500283</v>
      </c>
    </row>
    <row r="7" spans="1:20" s="20" customFormat="1" ht="33.75" customHeight="1">
      <c r="A7" s="14" t="s">
        <v>26</v>
      </c>
      <c r="B7" s="15" t="s">
        <v>27</v>
      </c>
      <c r="C7" s="16">
        <f>35488119+3020981+266707</f>
        <v>38775807</v>
      </c>
      <c r="D7" s="16">
        <f>41646128.88-D8</f>
        <v>40438982.88</v>
      </c>
      <c r="E7" s="16">
        <v>43465708.96</v>
      </c>
      <c r="F7" s="17">
        <f t="shared" si="0"/>
        <v>52.027679963301665</v>
      </c>
      <c r="G7" s="18">
        <v>47203842.93</v>
      </c>
      <c r="H7" s="19">
        <v>24559064.33</v>
      </c>
      <c r="I7" s="16">
        <v>48622103</v>
      </c>
      <c r="J7" s="16">
        <f>52384950+200000</f>
        <v>52584950</v>
      </c>
      <c r="K7" s="16">
        <f>J7*0.035+J7+1500000</f>
        <v>55925423.25</v>
      </c>
      <c r="L7" s="16">
        <f>K7*0.015+K7+430939+900000</f>
        <v>58095243.59875</v>
      </c>
      <c r="M7" s="16">
        <f>L7*0.015+L7</f>
        <v>58966672.252731256</v>
      </c>
      <c r="N7" s="16">
        <f>M7*0.015+M7</f>
        <v>59851172.33652222</v>
      </c>
      <c r="O7" s="16">
        <f>N7*0.015+N7</f>
        <v>60748939.921570055</v>
      </c>
      <c r="P7" s="16">
        <f>O7*0.015+O7-1000000</f>
        <v>60660174.0203936</v>
      </c>
      <c r="Q7" s="16">
        <f>P7*0.015+P7-1200000</f>
        <v>60370076.63069951</v>
      </c>
      <c r="R7" s="16">
        <f>Q7*0.015+Q7</f>
        <v>61275627.78016</v>
      </c>
      <c r="S7" s="16">
        <f>R7*0.015+R7</f>
        <v>62194762.1968624</v>
      </c>
      <c r="T7" s="16">
        <f>S7*0.015+S7</f>
        <v>63127683.62981533</v>
      </c>
    </row>
    <row r="8" spans="1:20" s="20" customFormat="1" ht="33.75" customHeight="1">
      <c r="A8" s="14" t="s">
        <v>28</v>
      </c>
      <c r="B8" s="15" t="s">
        <v>29</v>
      </c>
      <c r="C8" s="16">
        <f>356000+50000+1600000</f>
        <v>2006000</v>
      </c>
      <c r="D8" s="16">
        <f>674000+D9</f>
        <v>1207146</v>
      </c>
      <c r="E8" s="16">
        <v>3664289.5</v>
      </c>
      <c r="F8" s="17">
        <f t="shared" si="0"/>
        <v>22.62943962442086</v>
      </c>
      <c r="G8" s="18">
        <v>3687310.22</v>
      </c>
      <c r="H8" s="19">
        <v>834417.64</v>
      </c>
      <c r="I8" s="16">
        <v>6336121</v>
      </c>
      <c r="J8" s="21">
        <f>J9+242675+558833+873213</f>
        <v>2954721</v>
      </c>
      <c r="K8" s="21">
        <f>K9+712322+650000</f>
        <v>2731922</v>
      </c>
      <c r="L8" s="21">
        <f>L9+1500000-132049</f>
        <v>2833423</v>
      </c>
      <c r="M8" s="21">
        <f aca="true" t="shared" si="2" ref="M8:T8">M9</f>
        <v>1550000</v>
      </c>
      <c r="N8" s="21">
        <f t="shared" si="2"/>
        <v>573250</v>
      </c>
      <c r="O8" s="21">
        <f t="shared" si="2"/>
        <v>581848.75</v>
      </c>
      <c r="P8" s="21">
        <f t="shared" si="2"/>
        <v>300000</v>
      </c>
      <c r="Q8" s="21">
        <f t="shared" si="2"/>
        <v>304500</v>
      </c>
      <c r="R8" s="21">
        <f t="shared" si="2"/>
        <v>309067.5</v>
      </c>
      <c r="S8" s="21">
        <f t="shared" si="2"/>
        <v>313703.5125</v>
      </c>
      <c r="T8" s="21">
        <f t="shared" si="2"/>
        <v>318409.06518750003</v>
      </c>
    </row>
    <row r="9" spans="1:20" ht="33.75" customHeight="1">
      <c r="A9" s="14" t="s">
        <v>30</v>
      </c>
      <c r="B9" s="15" t="s">
        <v>31</v>
      </c>
      <c r="C9" s="16">
        <f>1739103+50447</f>
        <v>1789550</v>
      </c>
      <c r="D9" s="16">
        <v>533146</v>
      </c>
      <c r="E9" s="16">
        <f>1740500+50000</f>
        <v>1790500</v>
      </c>
      <c r="F9" s="17">
        <f t="shared" si="0"/>
        <v>23.90350746268657</v>
      </c>
      <c r="G9" s="18">
        <v>1273000</v>
      </c>
      <c r="H9" s="19">
        <f>25666.64+278595.25+29.76</f>
        <v>304291.65</v>
      </c>
      <c r="I9" s="16">
        <v>4000000</v>
      </c>
      <c r="J9" s="21">
        <f>I9*0.07+I9-3000000</f>
        <v>1280000</v>
      </c>
      <c r="K9" s="21">
        <f>J9*0.07+J9</f>
        <v>1369600</v>
      </c>
      <c r="L9" s="21">
        <f>K9*0.07+K9</f>
        <v>1465472</v>
      </c>
      <c r="M9" s="21">
        <v>1550000</v>
      </c>
      <c r="N9" s="21">
        <v>573250</v>
      </c>
      <c r="O9" s="21">
        <f>N9*0.015+N9</f>
        <v>581848.75</v>
      </c>
      <c r="P9" s="21">
        <v>300000</v>
      </c>
      <c r="Q9" s="21">
        <f>P9*0.015+P9</f>
        <v>304500</v>
      </c>
      <c r="R9" s="21">
        <f>Q9*0.015+Q9</f>
        <v>309067.5</v>
      </c>
      <c r="S9" s="21">
        <f>R9*0.015+R9</f>
        <v>313703.5125</v>
      </c>
      <c r="T9" s="21">
        <f>S9*0.015+S9</f>
        <v>318409.06518750003</v>
      </c>
    </row>
    <row r="10" spans="1:20" s="13" customFormat="1" ht="49.5" customHeight="1">
      <c r="A10" s="8" t="s">
        <v>32</v>
      </c>
      <c r="B10" s="9" t="s">
        <v>33</v>
      </c>
      <c r="C10" s="10">
        <f>C11+C12+C13+C17</f>
        <v>35377906</v>
      </c>
      <c r="D10" s="10">
        <f>D11+D12+D13+D17</f>
        <v>37534639</v>
      </c>
      <c r="E10" s="10">
        <f>E11+E12+E13+E17</f>
        <v>42954597.70999999</v>
      </c>
      <c r="F10" s="11">
        <f t="shared" si="0"/>
        <v>115.21414402758204</v>
      </c>
      <c r="G10" s="10">
        <f aca="true" t="shared" si="3" ref="G10:T10">G11+G12+G13+G17</f>
        <v>41387803.339999996</v>
      </c>
      <c r="H10" s="12">
        <f t="shared" si="3"/>
        <v>47684603.35</v>
      </c>
      <c r="I10" s="10">
        <f t="shared" si="3"/>
        <v>45907628</v>
      </c>
      <c r="J10" s="10">
        <f t="shared" si="3"/>
        <v>46460755.683</v>
      </c>
      <c r="K10" s="10">
        <f t="shared" si="3"/>
        <v>46490024.11834</v>
      </c>
      <c r="L10" s="10">
        <f t="shared" si="3"/>
        <v>46762181.7791247</v>
      </c>
      <c r="M10" s="10">
        <f t="shared" si="3"/>
        <v>47229563.930163845</v>
      </c>
      <c r="N10" s="10">
        <f t="shared" si="3"/>
        <v>47702100.142182276</v>
      </c>
      <c r="O10" s="10">
        <f t="shared" si="3"/>
        <v>49049378.96920947</v>
      </c>
      <c r="P10" s="10">
        <f t="shared" si="3"/>
        <v>49541137.487492725</v>
      </c>
      <c r="Q10" s="10">
        <f t="shared" si="3"/>
        <v>50038338.262768894</v>
      </c>
      <c r="R10" s="10">
        <f t="shared" si="3"/>
        <v>50541051.29967116</v>
      </c>
      <c r="S10" s="10">
        <f t="shared" si="3"/>
        <v>51049347.7047569</v>
      </c>
      <c r="T10" s="10">
        <f t="shared" si="3"/>
        <v>51563299.70763564</v>
      </c>
    </row>
    <row r="11" spans="1:20" s="20" customFormat="1" ht="48" customHeight="1">
      <c r="A11" s="14" t="s">
        <v>34</v>
      </c>
      <c r="B11" s="15" t="s">
        <v>35</v>
      </c>
      <c r="C11" s="18">
        <f>14308428-135900</f>
        <v>14172528</v>
      </c>
      <c r="D11" s="18">
        <f>16043395-147200</f>
        <v>15896195</v>
      </c>
      <c r="E11" s="18">
        <f>19642078</f>
        <v>19642078</v>
      </c>
      <c r="F11" s="17">
        <f t="shared" si="0"/>
        <v>49.811723395475774</v>
      </c>
      <c r="G11" s="18">
        <f>19746574-3087077.15</f>
        <v>16659496.85</v>
      </c>
      <c r="H11" s="19">
        <f>9914686.83-1616304.34</f>
        <v>8298382.49</v>
      </c>
      <c r="I11" s="18">
        <f>21708619-3506196</f>
        <v>18202423</v>
      </c>
      <c r="J11" s="18">
        <f>I11*0.02+I11</f>
        <v>18566471.46</v>
      </c>
      <c r="K11" s="18">
        <f aca="true" t="shared" si="4" ref="K11:T11">J11*0.01+J11</f>
        <v>18752136.1746</v>
      </c>
      <c r="L11" s="18">
        <f t="shared" si="4"/>
        <v>18939657.536346</v>
      </c>
      <c r="M11" s="18">
        <f t="shared" si="4"/>
        <v>19129054.11170946</v>
      </c>
      <c r="N11" s="18">
        <f t="shared" si="4"/>
        <v>19320344.652826555</v>
      </c>
      <c r="O11" s="18">
        <f t="shared" si="4"/>
        <v>19513548.099354822</v>
      </c>
      <c r="P11" s="18">
        <f t="shared" si="4"/>
        <v>19708683.58034837</v>
      </c>
      <c r="Q11" s="18">
        <f t="shared" si="4"/>
        <v>19905770.41615185</v>
      </c>
      <c r="R11" s="18">
        <f t="shared" si="4"/>
        <v>20104828.12031337</v>
      </c>
      <c r="S11" s="18">
        <f t="shared" si="4"/>
        <v>20305876.4015165</v>
      </c>
      <c r="T11" s="18">
        <f t="shared" si="4"/>
        <v>20508935.165531665</v>
      </c>
    </row>
    <row r="12" spans="1:20" s="20" customFormat="1" ht="33.75" customHeight="1">
      <c r="A12" s="14" t="s">
        <v>36</v>
      </c>
      <c r="B12" s="15" t="s">
        <v>37</v>
      </c>
      <c r="C12" s="18">
        <f>214650+3688830</f>
        <v>3903480</v>
      </c>
      <c r="D12" s="18">
        <f>251667+3897967</f>
        <v>4149634</v>
      </c>
      <c r="E12" s="18">
        <f>271400+4143066</f>
        <v>4414466</v>
      </c>
      <c r="F12" s="17">
        <f t="shared" si="0"/>
        <v>50.94949349089436</v>
      </c>
      <c r="G12" s="18">
        <v>4378626.12</v>
      </c>
      <c r="H12" s="19">
        <f>2230887.83</f>
        <v>2230887.83</v>
      </c>
      <c r="I12" s="18">
        <v>4794716</v>
      </c>
      <c r="J12" s="18">
        <f>I12*0.003+I12</f>
        <v>4809100.148</v>
      </c>
      <c r="K12" s="18">
        <f aca="true" t="shared" si="5" ref="K12:T12">J12*0.005+J12</f>
        <v>4833145.64874</v>
      </c>
      <c r="L12" s="18">
        <f t="shared" si="5"/>
        <v>4857311.3769837</v>
      </c>
      <c r="M12" s="18">
        <f t="shared" si="5"/>
        <v>4881597.933868619</v>
      </c>
      <c r="N12" s="18">
        <f t="shared" si="5"/>
        <v>4906005.923537962</v>
      </c>
      <c r="O12" s="18">
        <f t="shared" si="5"/>
        <v>4930535.953155652</v>
      </c>
      <c r="P12" s="18">
        <f t="shared" si="5"/>
        <v>4955188.63292143</v>
      </c>
      <c r="Q12" s="18">
        <f t="shared" si="5"/>
        <v>4979964.576086038</v>
      </c>
      <c r="R12" s="18">
        <f t="shared" si="5"/>
        <v>5004864.398966468</v>
      </c>
      <c r="S12" s="18">
        <f t="shared" si="5"/>
        <v>5029888.720961301</v>
      </c>
      <c r="T12" s="18">
        <f t="shared" si="5"/>
        <v>5055038.164566107</v>
      </c>
    </row>
    <row r="13" spans="1:20" s="20" customFormat="1" ht="45" customHeight="1">
      <c r="A13" s="14" t="s">
        <v>38</v>
      </c>
      <c r="B13" s="15" t="s">
        <v>39</v>
      </c>
      <c r="C13" s="22">
        <f>C14+C15+C16</f>
        <v>0</v>
      </c>
      <c r="D13" s="22">
        <f>D14+D15+D16</f>
        <v>0</v>
      </c>
      <c r="E13" s="22">
        <f>E14+E15+E16</f>
        <v>264812</v>
      </c>
      <c r="F13" s="17">
        <f t="shared" si="0"/>
        <v>42.59462287078788</v>
      </c>
      <c r="G13" s="22">
        <f aca="true" t="shared" si="6" ref="G13:T13">G14+G15+G16</f>
        <v>1601003</v>
      </c>
      <c r="H13" s="23">
        <f t="shared" si="6"/>
        <v>681941.1900000001</v>
      </c>
      <c r="I13" s="22">
        <f t="shared" si="6"/>
        <v>1724414</v>
      </c>
      <c r="J13" s="22">
        <f t="shared" si="6"/>
        <v>1767248.325</v>
      </c>
      <c r="K13" s="22">
        <f t="shared" si="6"/>
        <v>1567326.1875</v>
      </c>
      <c r="L13" s="22">
        <f t="shared" si="6"/>
        <v>1606459.3421875</v>
      </c>
      <c r="M13" s="22">
        <f t="shared" si="6"/>
        <v>1646570.8257421877</v>
      </c>
      <c r="N13" s="22">
        <f t="shared" si="6"/>
        <v>1687685.0963857423</v>
      </c>
      <c r="O13" s="22">
        <f t="shared" si="6"/>
        <v>1727827.2237953856</v>
      </c>
      <c r="P13" s="22">
        <f t="shared" si="6"/>
        <v>1771022.9043902704</v>
      </c>
      <c r="Q13" s="22">
        <f t="shared" si="6"/>
        <v>1815298.477000027</v>
      </c>
      <c r="R13" s="22">
        <f t="shared" si="6"/>
        <v>1860680.9389250278</v>
      </c>
      <c r="S13" s="22">
        <f t="shared" si="6"/>
        <v>1907197.9623981533</v>
      </c>
      <c r="T13" s="22">
        <f t="shared" si="6"/>
        <v>1954877.9114581072</v>
      </c>
    </row>
    <row r="14" spans="1:20" s="26" customFormat="1" ht="45" customHeight="1">
      <c r="A14" s="250"/>
      <c r="B14" s="25" t="s">
        <v>40</v>
      </c>
      <c r="C14" s="18"/>
      <c r="D14" s="18"/>
      <c r="E14" s="18">
        <f>26598+238214</f>
        <v>264812</v>
      </c>
      <c r="F14" s="17">
        <f t="shared" si="0"/>
        <v>0</v>
      </c>
      <c r="G14" s="18">
        <f>'załacznik 2'!J10</f>
        <v>213075</v>
      </c>
      <c r="H14" s="19">
        <f>'załacznik 2'!K10</f>
        <v>0</v>
      </c>
      <c r="I14" s="18">
        <f>'załacznik 2'!L10</f>
        <v>223473</v>
      </c>
      <c r="J14" s="18">
        <f>'załacznik 2'!M10</f>
        <v>229059.825</v>
      </c>
      <c r="K14" s="18">
        <f>'załacznik 2'!N10</f>
        <v>0</v>
      </c>
      <c r="L14" s="18">
        <f>'załacznik 2'!O10</f>
        <v>0</v>
      </c>
      <c r="M14" s="18">
        <f>'załacznik 2'!P10</f>
        <v>0</v>
      </c>
      <c r="N14" s="18">
        <f>'załacznik 2'!Q10</f>
        <v>0</v>
      </c>
      <c r="O14" s="18">
        <f>'załacznik 2'!R10</f>
        <v>0</v>
      </c>
      <c r="P14" s="18">
        <f>'załacznik 2'!S10</f>
        <v>0</v>
      </c>
      <c r="Q14" s="18">
        <f>'załacznik 2'!T10</f>
        <v>0</v>
      </c>
      <c r="R14" s="18">
        <f>'załacznik 2'!U10</f>
        <v>0</v>
      </c>
      <c r="S14" s="18">
        <f>'załacznik 2'!V10</f>
        <v>0</v>
      </c>
      <c r="T14" s="18">
        <f>'załacznik 2'!W10</f>
        <v>0</v>
      </c>
    </row>
    <row r="15" spans="1:20" s="26" customFormat="1" ht="33.75" customHeight="1">
      <c r="A15" s="250"/>
      <c r="B15" s="25" t="s">
        <v>41</v>
      </c>
      <c r="C15" s="18">
        <v>0</v>
      </c>
      <c r="D15" s="18">
        <v>0</v>
      </c>
      <c r="E15" s="18">
        <v>0</v>
      </c>
      <c r="F15" s="17">
        <v>0</v>
      </c>
      <c r="G15" s="18">
        <f>'załacznik 2'!J29</f>
        <v>0</v>
      </c>
      <c r="H15" s="19">
        <f>'załacznik 2'!K29</f>
        <v>0</v>
      </c>
      <c r="I15" s="18">
        <f>'załacznik 2'!L29</f>
        <v>0</v>
      </c>
      <c r="J15" s="18">
        <f>'załacznik 2'!M29</f>
        <v>0</v>
      </c>
      <c r="K15" s="18">
        <f>'załacznik 2'!N29</f>
        <v>0</v>
      </c>
      <c r="L15" s="18">
        <f>'załacznik 2'!O29</f>
        <v>0</v>
      </c>
      <c r="M15" s="18">
        <f>'załacznik 2'!P29</f>
        <v>0</v>
      </c>
      <c r="N15" s="18">
        <f>'załacznik 2'!Q29</f>
        <v>0</v>
      </c>
      <c r="O15" s="18">
        <f>'załacznik 2'!R29</f>
        <v>0</v>
      </c>
      <c r="P15" s="18">
        <f>'załacznik 2'!S29</f>
        <v>0</v>
      </c>
      <c r="Q15" s="18">
        <f>'załacznik 2'!T29</f>
        <v>0</v>
      </c>
      <c r="R15" s="18">
        <f>'załacznik 2'!U29</f>
        <v>0</v>
      </c>
      <c r="S15" s="18">
        <f>'załacznik 2'!V29</f>
        <v>0</v>
      </c>
      <c r="T15" s="18">
        <f>'załacznik 2'!W29</f>
        <v>0</v>
      </c>
    </row>
    <row r="16" spans="1:20" s="26" customFormat="1" ht="33.75" customHeight="1">
      <c r="A16" s="250"/>
      <c r="B16" s="25" t="s">
        <v>42</v>
      </c>
      <c r="C16" s="18"/>
      <c r="D16" s="18"/>
      <c r="E16" s="18">
        <v>0</v>
      </c>
      <c r="F16" s="17">
        <f>H16/G16*100</f>
        <v>49.13375837939721</v>
      </c>
      <c r="G16" s="18">
        <f>'załacznik 2'!J40</f>
        <v>1387928</v>
      </c>
      <c r="H16" s="19">
        <f>'załacznik 2'!K40</f>
        <v>681941.1900000001</v>
      </c>
      <c r="I16" s="18">
        <f>'załacznik 2'!L40</f>
        <v>1500941</v>
      </c>
      <c r="J16" s="18">
        <f>'załacznik 2'!M40</f>
        <v>1538188.5</v>
      </c>
      <c r="K16" s="18">
        <f>'załacznik 2'!N40</f>
        <v>1567326.1875</v>
      </c>
      <c r="L16" s="18">
        <f>'załacznik 2'!O40</f>
        <v>1606459.3421875</v>
      </c>
      <c r="M16" s="18">
        <f>'załacznik 2'!P40</f>
        <v>1646570.8257421877</v>
      </c>
      <c r="N16" s="18">
        <f>'załacznik 2'!Q40</f>
        <v>1687685.0963857423</v>
      </c>
      <c r="O16" s="18">
        <f>'załacznik 2'!R40</f>
        <v>1727827.2237953856</v>
      </c>
      <c r="P16" s="18">
        <f>'załacznik 2'!S40</f>
        <v>1771022.9043902704</v>
      </c>
      <c r="Q16" s="18">
        <f>'załacznik 2'!T40</f>
        <v>1815298.477000027</v>
      </c>
      <c r="R16" s="18">
        <f>'załacznik 2'!U40</f>
        <v>1860680.9389250278</v>
      </c>
      <c r="S16" s="18">
        <f>'załacznik 2'!V40</f>
        <v>1907197.9623981533</v>
      </c>
      <c r="T16" s="18">
        <f>'załacznik 2'!W40</f>
        <v>1954877.9114581072</v>
      </c>
    </row>
    <row r="17" spans="1:20" ht="49.5" customHeight="1">
      <c r="A17" s="14" t="s">
        <v>43</v>
      </c>
      <c r="B17" s="15" t="s">
        <v>44</v>
      </c>
      <c r="C17" s="27">
        <f>35629627-C11-C12-C13-251721</f>
        <v>17301898</v>
      </c>
      <c r="D17" s="27">
        <f>37955636-D11-D12-D13-420997</f>
        <v>17488810</v>
      </c>
      <c r="E17" s="27">
        <f>43718543.98-E11-E12-E13-E27</f>
        <v>18633241.709999997</v>
      </c>
      <c r="F17" s="11">
        <f>H17/G17*100</f>
        <v>194.53847927620512</v>
      </c>
      <c r="G17" s="27">
        <f>42533765.91-G13-G12-G11-G27</f>
        <v>18748677.369999997</v>
      </c>
      <c r="H17" s="27">
        <f>48280218-H13-H12-H11-H27</f>
        <v>36473391.84</v>
      </c>
      <c r="I17" s="27">
        <f>48346710-I13-I12-I11-I27</f>
        <v>21186075</v>
      </c>
      <c r="J17" s="27">
        <f>I17*1.01-80000</f>
        <v>21317935.75</v>
      </c>
      <c r="K17" s="27">
        <f>J17*1.01-38699-155000</f>
        <v>21337416.1075</v>
      </c>
      <c r="L17" s="27">
        <f>K17*1.001</f>
        <v>21358753.5236075</v>
      </c>
      <c r="M17" s="27">
        <f>L17*1.01</f>
        <v>21572341.058843575</v>
      </c>
      <c r="N17" s="27">
        <f>M17*1.01</f>
        <v>21788064.46943201</v>
      </c>
      <c r="O17" s="27">
        <f>N17*1.05</f>
        <v>22877467.69290361</v>
      </c>
      <c r="P17" s="27">
        <f>O17*1.01</f>
        <v>23106242.36983265</v>
      </c>
      <c r="Q17" s="27">
        <f>P17*1.01</f>
        <v>23337304.79353098</v>
      </c>
      <c r="R17" s="27">
        <f>Q17*1.01</f>
        <v>23570677.84146629</v>
      </c>
      <c r="S17" s="27">
        <f>R17*1.01</f>
        <v>23806384.619880952</v>
      </c>
      <c r="T17" s="27">
        <f>S17*1.01</f>
        <v>24044448.46607976</v>
      </c>
    </row>
    <row r="18" spans="1:20" s="13" customFormat="1" ht="46.5" customHeight="1">
      <c r="A18" s="8" t="s">
        <v>45</v>
      </c>
      <c r="B18" s="9" t="s">
        <v>46</v>
      </c>
      <c r="C18" s="10">
        <f>C6-C10</f>
        <v>5403901</v>
      </c>
      <c r="D18" s="10">
        <f>D6-D10</f>
        <v>4111489.8800000027</v>
      </c>
      <c r="E18" s="10">
        <f>E6-E10</f>
        <v>4175400.7500000075</v>
      </c>
      <c r="F18" s="11">
        <f>H18/G18*100</f>
        <v>-234.5606741377017</v>
      </c>
      <c r="G18" s="10">
        <f aca="true" t="shared" si="7" ref="G18:T18">G6-G10</f>
        <v>9503349.810000002</v>
      </c>
      <c r="H18" s="12">
        <f t="shared" si="7"/>
        <v>-22291121.380000003</v>
      </c>
      <c r="I18" s="10">
        <f t="shared" si="7"/>
        <v>9050596</v>
      </c>
      <c r="J18" s="10">
        <f t="shared" si="7"/>
        <v>9078915.317000002</v>
      </c>
      <c r="K18" s="10">
        <f t="shared" si="7"/>
        <v>12167321.13166</v>
      </c>
      <c r="L18" s="10">
        <f t="shared" si="7"/>
        <v>14166484.819625303</v>
      </c>
      <c r="M18" s="10">
        <f t="shared" si="7"/>
        <v>13287108.32256741</v>
      </c>
      <c r="N18" s="10">
        <f t="shared" si="7"/>
        <v>12722322.194339946</v>
      </c>
      <c r="O18" s="10">
        <f t="shared" si="7"/>
        <v>12281409.702360585</v>
      </c>
      <c r="P18" s="10">
        <f t="shared" si="7"/>
        <v>11419036.532900877</v>
      </c>
      <c r="Q18" s="10">
        <f t="shared" si="7"/>
        <v>10636238.367930613</v>
      </c>
      <c r="R18" s="10">
        <f t="shared" si="7"/>
        <v>11043643.980488844</v>
      </c>
      <c r="S18" s="10">
        <f t="shared" si="7"/>
        <v>11459118.004605502</v>
      </c>
      <c r="T18" s="10">
        <f t="shared" si="7"/>
        <v>11882792.98736719</v>
      </c>
    </row>
    <row r="19" spans="1:20" s="33" customFormat="1" ht="112.5" customHeight="1">
      <c r="A19" s="28" t="s">
        <v>47</v>
      </c>
      <c r="B19" s="29" t="s">
        <v>48</v>
      </c>
      <c r="C19" s="30">
        <f>C7-C10</f>
        <v>3397901</v>
      </c>
      <c r="D19" s="30">
        <f>D7-D10</f>
        <v>2904343.8800000027</v>
      </c>
      <c r="E19" s="30">
        <f>E7-E10</f>
        <v>511111.25000000745</v>
      </c>
      <c r="F19" s="31">
        <f>H19/G19*100</f>
        <v>-397.6166025376039</v>
      </c>
      <c r="G19" s="30">
        <f aca="true" t="shared" si="8" ref="G19:T19">G7-G10</f>
        <v>5816039.590000004</v>
      </c>
      <c r="H19" s="32">
        <f t="shared" si="8"/>
        <v>-23125539.020000003</v>
      </c>
      <c r="I19" s="30">
        <f t="shared" si="8"/>
        <v>2714475</v>
      </c>
      <c r="J19" s="30">
        <f t="shared" si="8"/>
        <v>6124194.317000002</v>
      </c>
      <c r="K19" s="30">
        <f t="shared" si="8"/>
        <v>9435399.13166</v>
      </c>
      <c r="L19" s="30">
        <f t="shared" si="8"/>
        <v>11333061.819625303</v>
      </c>
      <c r="M19" s="30">
        <f t="shared" si="8"/>
        <v>11737108.32256741</v>
      </c>
      <c r="N19" s="30">
        <f t="shared" si="8"/>
        <v>12149072.194339946</v>
      </c>
      <c r="O19" s="30">
        <f t="shared" si="8"/>
        <v>11699560.952360585</v>
      </c>
      <c r="P19" s="30">
        <f t="shared" si="8"/>
        <v>11119036.532900877</v>
      </c>
      <c r="Q19" s="30">
        <f t="shared" si="8"/>
        <v>10331738.367930613</v>
      </c>
      <c r="R19" s="30">
        <f t="shared" si="8"/>
        <v>10734576.480488844</v>
      </c>
      <c r="S19" s="30">
        <f t="shared" si="8"/>
        <v>11145414.492105499</v>
      </c>
      <c r="T19" s="30">
        <f t="shared" si="8"/>
        <v>11564383.922179691</v>
      </c>
    </row>
    <row r="20" spans="1:20" s="13" customFormat="1" ht="33.75" customHeight="1">
      <c r="A20" s="8" t="s">
        <v>49</v>
      </c>
      <c r="B20" s="9" t="s">
        <v>50</v>
      </c>
      <c r="C20" s="10">
        <f>C21+C23+C22</f>
        <v>545789</v>
      </c>
      <c r="D20" s="10">
        <f>D21+D23+D22</f>
        <v>-168816</v>
      </c>
      <c r="E20" s="10">
        <f>E21+E23+E22</f>
        <v>885732.8800000027</v>
      </c>
      <c r="F20" s="11">
        <f>H20/G20*100</f>
        <v>4.259323366019649</v>
      </c>
      <c r="G20" s="10">
        <f aca="true" t="shared" si="9" ref="G20:T20">G21+G23+G22</f>
        <v>469558.1500000097</v>
      </c>
      <c r="H20" s="10">
        <f t="shared" si="9"/>
        <v>20000</v>
      </c>
      <c r="I20" s="10">
        <f t="shared" si="9"/>
        <v>3159987.390000012</v>
      </c>
      <c r="J20" s="10">
        <f t="shared" si="9"/>
        <v>0</v>
      </c>
      <c r="K20" s="10">
        <f t="shared" si="9"/>
        <v>0</v>
      </c>
      <c r="L20" s="10">
        <f t="shared" si="9"/>
        <v>0</v>
      </c>
      <c r="M20" s="10">
        <f t="shared" si="9"/>
        <v>1764243.8196253031</v>
      </c>
      <c r="N20" s="10">
        <f t="shared" si="9"/>
        <v>7453539.142192714</v>
      </c>
      <c r="O20" s="10">
        <f t="shared" si="9"/>
        <v>5402900.33653266</v>
      </c>
      <c r="P20" s="10">
        <f t="shared" si="9"/>
        <v>6293817.038893245</v>
      </c>
      <c r="Q20" s="10">
        <f t="shared" si="9"/>
        <v>4724556.571794122</v>
      </c>
      <c r="R20" s="10">
        <f t="shared" si="9"/>
        <v>6494218.939724736</v>
      </c>
      <c r="S20" s="10">
        <f t="shared" si="9"/>
        <v>8450671.92021358</v>
      </c>
      <c r="T20" s="10">
        <f t="shared" si="9"/>
        <v>11341305.763479095</v>
      </c>
    </row>
    <row r="21" spans="1:20" ht="33.75" customHeight="1">
      <c r="A21" s="14" t="s">
        <v>51</v>
      </c>
      <c r="B21" s="15" t="s">
        <v>52</v>
      </c>
      <c r="C21" s="18">
        <v>531253</v>
      </c>
      <c r="D21" s="18">
        <f>C47</f>
        <v>-172584</v>
      </c>
      <c r="E21" s="18">
        <f>D47</f>
        <v>881964.8800000027</v>
      </c>
      <c r="F21" s="17"/>
      <c r="G21" s="24"/>
      <c r="H21" s="34"/>
      <c r="I21" s="18">
        <v>0</v>
      </c>
      <c r="J21" s="18">
        <f>H47</f>
        <v>0</v>
      </c>
      <c r="K21" s="18">
        <f>I47</f>
        <v>0</v>
      </c>
      <c r="L21" s="18">
        <f aca="true" t="shared" si="10" ref="L21:T21">K47</f>
        <v>0</v>
      </c>
      <c r="M21" s="18">
        <f t="shared" si="10"/>
        <v>1764243.8196253031</v>
      </c>
      <c r="N21" s="18">
        <f t="shared" si="10"/>
        <v>7453539.142192714</v>
      </c>
      <c r="O21" s="18">
        <f t="shared" si="10"/>
        <v>5402900.33653266</v>
      </c>
      <c r="P21" s="18">
        <f t="shared" si="10"/>
        <v>6293817.038893245</v>
      </c>
      <c r="Q21" s="18">
        <f t="shared" si="10"/>
        <v>4724556.571794122</v>
      </c>
      <c r="R21" s="18">
        <f t="shared" si="10"/>
        <v>6494218.939724736</v>
      </c>
      <c r="S21" s="18">
        <f t="shared" si="10"/>
        <v>8450671.92021358</v>
      </c>
      <c r="T21" s="18">
        <f t="shared" si="10"/>
        <v>11341305.763479095</v>
      </c>
    </row>
    <row r="22" spans="1:20" ht="33.75" customHeight="1">
      <c r="A22" s="14" t="s">
        <v>53</v>
      </c>
      <c r="B22" s="15" t="s">
        <v>54</v>
      </c>
      <c r="C22" s="24"/>
      <c r="D22" s="24"/>
      <c r="E22" s="24"/>
      <c r="F22" s="17">
        <f aca="true" t="shared" si="11" ref="F22:F28">H22/G22*100</f>
        <v>0</v>
      </c>
      <c r="G22" s="18">
        <f>E47</f>
        <v>345790.1500000097</v>
      </c>
      <c r="H22" s="18">
        <f>F47</f>
        <v>0</v>
      </c>
      <c r="I22" s="18">
        <f>G47</f>
        <v>3159987.390000012</v>
      </c>
      <c r="J22" s="18">
        <f>I47</f>
        <v>0</v>
      </c>
      <c r="K22" s="18"/>
      <c r="L22" s="18"/>
      <c r="M22" s="15"/>
      <c r="N22" s="15"/>
      <c r="O22" s="15"/>
      <c r="P22" s="15"/>
      <c r="Q22" s="15"/>
      <c r="R22" s="15"/>
      <c r="S22" s="15"/>
      <c r="T22" s="15"/>
    </row>
    <row r="23" spans="1:20" ht="33.75" customHeight="1">
      <c r="A23" s="14" t="s">
        <v>55</v>
      </c>
      <c r="B23" s="15" t="s">
        <v>56</v>
      </c>
      <c r="C23" s="21">
        <v>14536</v>
      </c>
      <c r="D23" s="21">
        <v>3768</v>
      </c>
      <c r="E23" s="21">
        <v>3768</v>
      </c>
      <c r="F23" s="17">
        <f t="shared" si="11"/>
        <v>16.15926572296555</v>
      </c>
      <c r="G23" s="21">
        <v>123768</v>
      </c>
      <c r="H23" s="35">
        <v>20000</v>
      </c>
      <c r="I23" s="18"/>
      <c r="J23" s="18"/>
      <c r="K23" s="18"/>
      <c r="L23" s="18"/>
      <c r="M23" s="15"/>
      <c r="N23" s="15"/>
      <c r="O23" s="15"/>
      <c r="P23" s="15"/>
      <c r="Q23" s="15"/>
      <c r="R23" s="15"/>
      <c r="S23" s="15"/>
      <c r="T23" s="15"/>
    </row>
    <row r="24" spans="1:20" s="13" customFormat="1" ht="49.5" customHeight="1">
      <c r="A24" s="8" t="s">
        <v>57</v>
      </c>
      <c r="B24" s="9" t="s">
        <v>58</v>
      </c>
      <c r="C24" s="10">
        <f>C18+C20</f>
        <v>5949690</v>
      </c>
      <c r="D24" s="10">
        <f>D18+D20</f>
        <v>3942673.8800000027</v>
      </c>
      <c r="E24" s="10">
        <f>E18+E20</f>
        <v>5061133.63000001</v>
      </c>
      <c r="F24" s="11">
        <f t="shared" si="11"/>
        <v>-223.3162230046288</v>
      </c>
      <c r="G24" s="10">
        <f aca="true" t="shared" si="12" ref="G24:T24">G18+G20</f>
        <v>9972907.960000012</v>
      </c>
      <c r="H24" s="12">
        <f t="shared" si="12"/>
        <v>-22271121.380000003</v>
      </c>
      <c r="I24" s="10">
        <f t="shared" si="12"/>
        <v>12210583.390000012</v>
      </c>
      <c r="J24" s="10">
        <f t="shared" si="12"/>
        <v>9078915.317000002</v>
      </c>
      <c r="K24" s="10">
        <f t="shared" si="12"/>
        <v>12167321.13166</v>
      </c>
      <c r="L24" s="10">
        <f t="shared" si="12"/>
        <v>14166484.819625303</v>
      </c>
      <c r="M24" s="10">
        <f t="shared" si="12"/>
        <v>15051352.142192714</v>
      </c>
      <c r="N24" s="10">
        <f t="shared" si="12"/>
        <v>20175861.33653266</v>
      </c>
      <c r="O24" s="10">
        <f t="shared" si="12"/>
        <v>17684310.038893245</v>
      </c>
      <c r="P24" s="10">
        <f t="shared" si="12"/>
        <v>17712853.571794122</v>
      </c>
      <c r="Q24" s="10">
        <f t="shared" si="12"/>
        <v>15360794.939724736</v>
      </c>
      <c r="R24" s="10">
        <f t="shared" si="12"/>
        <v>17537862.92021358</v>
      </c>
      <c r="S24" s="10">
        <f t="shared" si="12"/>
        <v>19909789.924819082</v>
      </c>
      <c r="T24" s="10">
        <f t="shared" si="12"/>
        <v>23224098.750846285</v>
      </c>
    </row>
    <row r="25" spans="1:20" s="33" customFormat="1" ht="112.5" customHeight="1">
      <c r="A25" s="28" t="s">
        <v>47</v>
      </c>
      <c r="B25" s="36" t="s">
        <v>59</v>
      </c>
      <c r="C25" s="37">
        <f>C7-C10+C20</f>
        <v>3943690</v>
      </c>
      <c r="D25" s="37">
        <f>D7-D10+D20</f>
        <v>2735527.8800000027</v>
      </c>
      <c r="E25" s="37">
        <f>E7-E10+E20</f>
        <v>1396844.1300000101</v>
      </c>
      <c r="F25" s="31">
        <f t="shared" si="11"/>
        <v>-367.5949364841148</v>
      </c>
      <c r="G25" s="37">
        <f aca="true" t="shared" si="13" ref="G25:T25">G7-G10+G20</f>
        <v>6285597.740000013</v>
      </c>
      <c r="H25" s="38">
        <f t="shared" si="13"/>
        <v>-23105539.020000003</v>
      </c>
      <c r="I25" s="37">
        <f t="shared" si="13"/>
        <v>5874462.390000012</v>
      </c>
      <c r="J25" s="37">
        <f t="shared" si="13"/>
        <v>6124194.317000002</v>
      </c>
      <c r="K25" s="37">
        <f t="shared" si="13"/>
        <v>9435399.13166</v>
      </c>
      <c r="L25" s="37">
        <f t="shared" si="13"/>
        <v>11333061.819625303</v>
      </c>
      <c r="M25" s="37">
        <f t="shared" si="13"/>
        <v>13501352.142192714</v>
      </c>
      <c r="N25" s="37">
        <f t="shared" si="13"/>
        <v>19602611.33653266</v>
      </c>
      <c r="O25" s="37">
        <f t="shared" si="13"/>
        <v>17102461.288893245</v>
      </c>
      <c r="P25" s="37">
        <f t="shared" si="13"/>
        <v>17412853.571794122</v>
      </c>
      <c r="Q25" s="37">
        <f t="shared" si="13"/>
        <v>15056294.939724736</v>
      </c>
      <c r="R25" s="37">
        <f t="shared" si="13"/>
        <v>17228795.42021358</v>
      </c>
      <c r="S25" s="37">
        <f t="shared" si="13"/>
        <v>19596086.41231908</v>
      </c>
      <c r="T25" s="37">
        <f t="shared" si="13"/>
        <v>22905689.685658786</v>
      </c>
    </row>
    <row r="26" spans="1:20" s="13" customFormat="1" ht="33.75" customHeight="1">
      <c r="A26" s="8" t="s">
        <v>60</v>
      </c>
      <c r="B26" s="9" t="s">
        <v>61</v>
      </c>
      <c r="C26" s="10">
        <f>C27+C34+C36</f>
        <v>1778408</v>
      </c>
      <c r="D26" s="10">
        <f>D27+D34+D36</f>
        <v>2171564</v>
      </c>
      <c r="E26" s="10">
        <f>E27+E34+E36</f>
        <v>2272060.27</v>
      </c>
      <c r="F26" s="11">
        <f t="shared" si="11"/>
        <v>74.90244908368852</v>
      </c>
      <c r="G26" s="10">
        <f aca="true" t="shared" si="14" ref="G26:T26">G27+G34+G36</f>
        <v>5754971.57</v>
      </c>
      <c r="H26" s="12">
        <f t="shared" si="14"/>
        <v>4310614.65</v>
      </c>
      <c r="I26" s="10">
        <f t="shared" si="14"/>
        <v>6139082</v>
      </c>
      <c r="J26" s="10">
        <f t="shared" si="14"/>
        <v>6333265</v>
      </c>
      <c r="K26" s="10">
        <f t="shared" si="14"/>
        <v>4732648</v>
      </c>
      <c r="L26" s="10">
        <f t="shared" si="14"/>
        <v>5076901</v>
      </c>
      <c r="M26" s="10">
        <f t="shared" si="14"/>
        <v>5897813</v>
      </c>
      <c r="N26" s="10">
        <f t="shared" si="14"/>
        <v>5772961</v>
      </c>
      <c r="O26" s="10">
        <f t="shared" si="14"/>
        <v>5790493</v>
      </c>
      <c r="P26" s="10">
        <f t="shared" si="14"/>
        <v>5488297</v>
      </c>
      <c r="Q26" s="10">
        <f t="shared" si="14"/>
        <v>4866576</v>
      </c>
      <c r="R26" s="10">
        <f t="shared" si="14"/>
        <v>4187190</v>
      </c>
      <c r="S26" s="10">
        <f t="shared" si="14"/>
        <v>3668482.161339987</v>
      </c>
      <c r="T26" s="10">
        <f t="shared" si="14"/>
        <v>417320</v>
      </c>
    </row>
    <row r="27" spans="1:26" s="44" customFormat="1" ht="33.75" customHeight="1">
      <c r="A27" s="39" t="s">
        <v>62</v>
      </c>
      <c r="B27" s="40" t="s">
        <v>63</v>
      </c>
      <c r="C27" s="41">
        <f>C28+C30+C32</f>
        <v>251721</v>
      </c>
      <c r="D27" s="41">
        <f>D28+D30+D32</f>
        <v>420997</v>
      </c>
      <c r="E27" s="41">
        <f>E28+E30+E32</f>
        <v>763946.27</v>
      </c>
      <c r="F27" s="11">
        <f t="shared" si="11"/>
        <v>51.975052727943805</v>
      </c>
      <c r="G27" s="41">
        <f aca="true" t="shared" si="15" ref="G27:T27">G28+G30+G32</f>
        <v>1145962.57</v>
      </c>
      <c r="H27" s="42">
        <f t="shared" si="15"/>
        <v>595614.65</v>
      </c>
      <c r="I27" s="41">
        <f t="shared" si="15"/>
        <v>2439082</v>
      </c>
      <c r="J27" s="41">
        <f t="shared" si="15"/>
        <v>2633265</v>
      </c>
      <c r="K27" s="41">
        <f t="shared" si="15"/>
        <v>2532648</v>
      </c>
      <c r="L27" s="41">
        <f t="shared" si="15"/>
        <v>2423886</v>
      </c>
      <c r="M27" s="41">
        <f t="shared" si="15"/>
        <v>2094798</v>
      </c>
      <c r="N27" s="41">
        <f t="shared" si="15"/>
        <v>1969946</v>
      </c>
      <c r="O27" s="41">
        <f t="shared" si="15"/>
        <v>1875606</v>
      </c>
      <c r="P27" s="41">
        <f t="shared" si="15"/>
        <v>1623410</v>
      </c>
      <c r="Q27" s="41">
        <f t="shared" si="15"/>
        <v>1501689</v>
      </c>
      <c r="R27" s="41">
        <f t="shared" si="15"/>
        <v>1197303</v>
      </c>
      <c r="S27" s="41">
        <f t="shared" si="15"/>
        <v>973073</v>
      </c>
      <c r="T27" s="41">
        <f t="shared" si="15"/>
        <v>417320</v>
      </c>
      <c r="U27" s="43"/>
      <c r="V27" s="43"/>
      <c r="W27" s="43"/>
      <c r="X27" s="43"/>
      <c r="Y27" s="43"/>
      <c r="Z27" s="43"/>
    </row>
    <row r="28" spans="1:26" ht="33.75" customHeight="1">
      <c r="A28" s="14" t="s">
        <v>64</v>
      </c>
      <c r="B28" s="15" t="s">
        <v>65</v>
      </c>
      <c r="C28" s="18">
        <v>251721</v>
      </c>
      <c r="D28" s="18">
        <v>420997</v>
      </c>
      <c r="E28" s="18">
        <v>763946.27</v>
      </c>
      <c r="F28" s="17">
        <f t="shared" si="11"/>
        <v>51.975052727943805</v>
      </c>
      <c r="G28" s="18">
        <v>1145962.57</v>
      </c>
      <c r="H28" s="19">
        <f>595614.65</f>
        <v>595614.65</v>
      </c>
      <c r="I28" s="18">
        <v>1786000</v>
      </c>
      <c r="J28" s="18">
        <v>1643000</v>
      </c>
      <c r="K28" s="18">
        <v>1556700</v>
      </c>
      <c r="L28" s="18">
        <v>1490000</v>
      </c>
      <c r="M28" s="18">
        <v>1346780</v>
      </c>
      <c r="N28" s="18">
        <v>1226772</v>
      </c>
      <c r="O28" s="18">
        <v>1173047</v>
      </c>
      <c r="P28" s="18">
        <v>919321</v>
      </c>
      <c r="Q28" s="18">
        <v>795596</v>
      </c>
      <c r="R28" s="18">
        <v>496200</v>
      </c>
      <c r="S28" s="18">
        <v>290532</v>
      </c>
      <c r="T28" s="18">
        <v>0</v>
      </c>
      <c r="U28" s="45"/>
      <c r="V28" s="45"/>
      <c r="W28" s="45"/>
      <c r="X28" s="45"/>
      <c r="Y28" s="45"/>
      <c r="Z28" s="45"/>
    </row>
    <row r="29" spans="1:26" s="51" customFormat="1" ht="46.5" customHeight="1">
      <c r="A29" s="14"/>
      <c r="B29" s="46" t="s">
        <v>66</v>
      </c>
      <c r="C29" s="46"/>
      <c r="D29" s="46"/>
      <c r="E29" s="46"/>
      <c r="F29" s="11"/>
      <c r="G29" s="47"/>
      <c r="H29" s="48"/>
      <c r="I29" s="47"/>
      <c r="J29" s="48"/>
      <c r="K29" s="48"/>
      <c r="L29" s="48"/>
      <c r="M29" s="49"/>
      <c r="N29" s="49"/>
      <c r="O29" s="49"/>
      <c r="P29" s="49"/>
      <c r="Q29" s="49"/>
      <c r="R29" s="49"/>
      <c r="S29" s="49"/>
      <c r="T29" s="49"/>
      <c r="U29" s="50"/>
      <c r="V29" s="50"/>
      <c r="W29" s="50"/>
      <c r="X29" s="50"/>
      <c r="Y29" s="50"/>
      <c r="Z29" s="50"/>
    </row>
    <row r="30" spans="1:26" ht="33.75" customHeight="1">
      <c r="A30" s="14" t="s">
        <v>67</v>
      </c>
      <c r="B30" s="15" t="s">
        <v>68</v>
      </c>
      <c r="C30" s="18"/>
      <c r="D30" s="52"/>
      <c r="E30" s="52"/>
      <c r="F30" s="17" t="e">
        <f>H30/G30*100</f>
        <v>#DIV/0!</v>
      </c>
      <c r="G30" s="52">
        <v>0</v>
      </c>
      <c r="H30" s="53">
        <v>0</v>
      </c>
      <c r="I30" s="52">
        <v>339827</v>
      </c>
      <c r="J30" s="54">
        <f>398587</f>
        <v>398587</v>
      </c>
      <c r="K30" s="54">
        <f>402028</f>
        <v>402028</v>
      </c>
      <c r="L30" s="54">
        <f>405652</f>
        <v>405652</v>
      </c>
      <c r="M30" s="54">
        <f>409490</f>
        <v>409490</v>
      </c>
      <c r="N30" s="54">
        <f>414428</f>
        <v>414428</v>
      </c>
      <c r="O30" s="54">
        <f>383574</f>
        <v>383574</v>
      </c>
      <c r="P30" s="54">
        <f>394865</f>
        <v>394865</v>
      </c>
      <c r="Q30" s="22">
        <f>406632</f>
        <v>406632</v>
      </c>
      <c r="R30" s="22">
        <f>411404</f>
        <v>411404</v>
      </c>
      <c r="S30" s="22">
        <f>402607</f>
        <v>402607</v>
      </c>
      <c r="T30" s="22">
        <v>417320</v>
      </c>
      <c r="U30" s="45"/>
      <c r="V30" s="45"/>
      <c r="W30" s="45"/>
      <c r="X30" s="45"/>
      <c r="Y30" s="45"/>
      <c r="Z30" s="45"/>
    </row>
    <row r="31" spans="1:26" s="51" customFormat="1" ht="46.5" customHeight="1">
      <c r="A31" s="14"/>
      <c r="B31" s="46" t="s">
        <v>69</v>
      </c>
      <c r="C31" s="46"/>
      <c r="D31" s="46"/>
      <c r="E31" s="46"/>
      <c r="F31" s="11"/>
      <c r="G31" s="55"/>
      <c r="H31" s="56"/>
      <c r="I31" s="47"/>
      <c r="J31" s="48"/>
      <c r="K31" s="48"/>
      <c r="L31" s="48"/>
      <c r="M31" s="49"/>
      <c r="N31" s="49"/>
      <c r="O31" s="49"/>
      <c r="P31" s="49"/>
      <c r="Q31" s="49"/>
      <c r="R31" s="49"/>
      <c r="S31" s="49"/>
      <c r="T31" s="49"/>
      <c r="U31" s="50"/>
      <c r="V31" s="50"/>
      <c r="W31" s="50"/>
      <c r="X31" s="50"/>
      <c r="Y31" s="50"/>
      <c r="Z31" s="50"/>
    </row>
    <row r="32" spans="1:26" ht="45" customHeight="1">
      <c r="A32" s="14" t="s">
        <v>70</v>
      </c>
      <c r="B32" s="15" t="s">
        <v>71</v>
      </c>
      <c r="C32" s="18">
        <v>0</v>
      </c>
      <c r="D32" s="18">
        <v>0</v>
      </c>
      <c r="E32" s="18">
        <v>0</v>
      </c>
      <c r="F32" s="17" t="e">
        <f>H32/G32*100</f>
        <v>#DIV/0!</v>
      </c>
      <c r="G32" s="18">
        <v>0</v>
      </c>
      <c r="H32" s="19">
        <v>0</v>
      </c>
      <c r="I32" s="18">
        <f>'załacznik 2'!L42</f>
        <v>313255</v>
      </c>
      <c r="J32" s="18">
        <f>'załacznik 2'!M42</f>
        <v>591678</v>
      </c>
      <c r="K32" s="18">
        <f>'załacznik 2'!N42</f>
        <v>573920</v>
      </c>
      <c r="L32" s="18">
        <f>'załacznik 2'!O42</f>
        <v>528234</v>
      </c>
      <c r="M32" s="18">
        <f>'załacznik 2'!P42</f>
        <v>338528</v>
      </c>
      <c r="N32" s="18">
        <f>'załacznik 2'!Q42</f>
        <v>328746</v>
      </c>
      <c r="O32" s="18">
        <f>'załacznik 2'!R42</f>
        <v>318985</v>
      </c>
      <c r="P32" s="18">
        <f>'załacznik 2'!S42</f>
        <v>309224</v>
      </c>
      <c r="Q32" s="18">
        <f>'załacznik 2'!T42</f>
        <v>299461</v>
      </c>
      <c r="R32" s="18">
        <f>'załacznik 2'!U42</f>
        <v>289699</v>
      </c>
      <c r="S32" s="18">
        <f>'załacznik 2'!V42</f>
        <v>279934</v>
      </c>
      <c r="T32" s="18">
        <f>'załacznik 2'!W42</f>
        <v>0</v>
      </c>
      <c r="U32" s="45"/>
      <c r="V32" s="45"/>
      <c r="W32" s="45"/>
      <c r="X32" s="45"/>
      <c r="Y32" s="45"/>
      <c r="Z32" s="45"/>
    </row>
    <row r="33" spans="1:26" s="44" customFormat="1" ht="46.5" customHeight="1">
      <c r="A33" s="14"/>
      <c r="B33" s="46" t="s">
        <v>72</v>
      </c>
      <c r="C33" s="46"/>
      <c r="D33" s="46"/>
      <c r="E33" s="46"/>
      <c r="F33" s="11"/>
      <c r="G33" s="47"/>
      <c r="H33" s="48"/>
      <c r="I33" s="47"/>
      <c r="J33" s="48"/>
      <c r="K33" s="48"/>
      <c r="L33" s="48"/>
      <c r="M33" s="57"/>
      <c r="N33" s="57"/>
      <c r="O33" s="57"/>
      <c r="P33" s="57"/>
      <c r="Q33" s="57"/>
      <c r="R33" s="57"/>
      <c r="S33" s="57"/>
      <c r="T33" s="57"/>
      <c r="U33" s="43"/>
      <c r="V33" s="43"/>
      <c r="W33" s="43"/>
      <c r="X33" s="43"/>
      <c r="Y33" s="43"/>
      <c r="Z33" s="43"/>
    </row>
    <row r="34" spans="1:26" s="44" customFormat="1" ht="33.75" customHeight="1">
      <c r="A34" s="39" t="s">
        <v>73</v>
      </c>
      <c r="B34" s="40" t="s">
        <v>74</v>
      </c>
      <c r="C34" s="27">
        <v>1526687</v>
      </c>
      <c r="D34" s="10">
        <v>1750567</v>
      </c>
      <c r="E34" s="10">
        <v>1508114</v>
      </c>
      <c r="F34" s="11">
        <f>H34/G34*100</f>
        <v>82.31215397429588</v>
      </c>
      <c r="G34" s="10">
        <f>'[1]dług spłata'!C16</f>
        <v>4489009</v>
      </c>
      <c r="H34" s="10">
        <f>'[1]dług spłata'!D16</f>
        <v>3695000</v>
      </c>
      <c r="I34" s="10">
        <f>'[1]dług spłata'!D16+5000</f>
        <v>3700000</v>
      </c>
      <c r="J34" s="10">
        <f>'[1]dług spłata'!E16</f>
        <v>3700000</v>
      </c>
      <c r="K34" s="10">
        <f>'[1]dług spłata'!F16</f>
        <v>2200000</v>
      </c>
      <c r="L34" s="10">
        <f>2653015</f>
        <v>2653015</v>
      </c>
      <c r="M34" s="10">
        <f>3653015+150000</f>
        <v>3803015</v>
      </c>
      <c r="N34" s="10">
        <f>3653015+150000</f>
        <v>3803015</v>
      </c>
      <c r="O34" s="10">
        <f>3864887+50000</f>
        <v>3914887</v>
      </c>
      <c r="P34" s="10">
        <f>3864887</f>
        <v>3864887</v>
      </c>
      <c r="Q34" s="10">
        <f>2864887+500000</f>
        <v>3364887</v>
      </c>
      <c r="R34" s="10">
        <f>2789887+200000</f>
        <v>2989887</v>
      </c>
      <c r="S34" s="10">
        <f>R52</f>
        <v>2695409.161339987</v>
      </c>
      <c r="T34" s="10">
        <v>0</v>
      </c>
      <c r="U34" s="43"/>
      <c r="V34" s="43"/>
      <c r="W34" s="43"/>
      <c r="X34" s="43"/>
      <c r="Y34" s="43"/>
      <c r="Z34" s="43"/>
    </row>
    <row r="35" spans="1:20" s="58" customFormat="1" ht="46.5" customHeight="1">
      <c r="A35" s="22"/>
      <c r="B35" s="48" t="s">
        <v>75</v>
      </c>
      <c r="C35" s="56"/>
      <c r="D35" s="56"/>
      <c r="E35" s="56"/>
      <c r="F35" s="11"/>
      <c r="G35" s="55"/>
      <c r="H35" s="56"/>
      <c r="I35" s="5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5"/>
    </row>
    <row r="36" spans="1:26" s="44" customFormat="1" ht="33.75" customHeight="1">
      <c r="A36" s="39" t="s">
        <v>76</v>
      </c>
      <c r="B36" s="40" t="s">
        <v>77</v>
      </c>
      <c r="C36" s="18">
        <v>0</v>
      </c>
      <c r="D36" s="18">
        <v>0</v>
      </c>
      <c r="E36" s="18">
        <v>0</v>
      </c>
      <c r="F36" s="17">
        <f aca="true" t="shared" si="16" ref="F36:F42">H36/G36*100</f>
        <v>16.666666666666664</v>
      </c>
      <c r="G36" s="18">
        <v>120000</v>
      </c>
      <c r="H36" s="19">
        <v>20000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43"/>
      <c r="V36" s="43"/>
      <c r="W36" s="43"/>
      <c r="X36" s="43"/>
      <c r="Y36" s="43"/>
      <c r="Z36" s="43"/>
    </row>
    <row r="37" spans="1:26" s="44" customFormat="1" ht="112.5" customHeight="1">
      <c r="A37" s="59" t="s">
        <v>47</v>
      </c>
      <c r="B37" s="36" t="s">
        <v>78</v>
      </c>
      <c r="C37" s="60">
        <f>C7+C20-(C10+C27)</f>
        <v>3691969</v>
      </c>
      <c r="D37" s="60">
        <f>D7+D20-(D10+D27)</f>
        <v>2314530.8800000027</v>
      </c>
      <c r="E37" s="60">
        <f>E7+E20-(E10+E27)</f>
        <v>632897.8600000069</v>
      </c>
      <c r="F37" s="31">
        <f t="shared" si="16"/>
        <v>-461.14467050780814</v>
      </c>
      <c r="G37" s="60">
        <f aca="true" t="shared" si="17" ref="G37:T37">G7+G20-(G10+G27)</f>
        <v>5139635.170000017</v>
      </c>
      <c r="H37" s="61">
        <f t="shared" si="17"/>
        <v>-23701153.67</v>
      </c>
      <c r="I37" s="60">
        <f t="shared" si="17"/>
        <v>3435380.3900000155</v>
      </c>
      <c r="J37" s="60">
        <f t="shared" si="17"/>
        <v>3490929.3170000017</v>
      </c>
      <c r="K37" s="60">
        <f t="shared" si="17"/>
        <v>6902751.1316599995</v>
      </c>
      <c r="L37" s="60">
        <f t="shared" si="17"/>
        <v>8909175.819625303</v>
      </c>
      <c r="M37" s="60">
        <f t="shared" si="17"/>
        <v>11406554.142192714</v>
      </c>
      <c r="N37" s="60">
        <f t="shared" si="17"/>
        <v>17632665.336532667</v>
      </c>
      <c r="O37" s="60">
        <f t="shared" si="17"/>
        <v>15226855.288893245</v>
      </c>
      <c r="P37" s="60">
        <f t="shared" si="17"/>
        <v>15789443.571794122</v>
      </c>
      <c r="Q37" s="60">
        <f t="shared" si="17"/>
        <v>13554605.939724736</v>
      </c>
      <c r="R37" s="60">
        <f t="shared" si="17"/>
        <v>16031492.42021358</v>
      </c>
      <c r="S37" s="60">
        <f t="shared" si="17"/>
        <v>18623013.41231908</v>
      </c>
      <c r="T37" s="60">
        <f t="shared" si="17"/>
        <v>22488369.685658783</v>
      </c>
      <c r="U37" s="43"/>
      <c r="V37" s="43"/>
      <c r="W37" s="43"/>
      <c r="X37" s="43"/>
      <c r="Y37" s="43"/>
      <c r="Z37" s="43"/>
    </row>
    <row r="38" spans="1:26" s="13" customFormat="1" ht="49.5" customHeight="1">
      <c r="A38" s="8" t="s">
        <v>79</v>
      </c>
      <c r="B38" s="9" t="s">
        <v>80</v>
      </c>
      <c r="C38" s="10">
        <f>C24-C26-C36</f>
        <v>4171282</v>
      </c>
      <c r="D38" s="10">
        <f>D24-D26-D36</f>
        <v>1771109.8800000027</v>
      </c>
      <c r="E38" s="10">
        <f>E24-E26-E36</f>
        <v>2789073.36000001</v>
      </c>
      <c r="F38" s="11">
        <f t="shared" si="16"/>
        <v>-649.1495596396977</v>
      </c>
      <c r="G38" s="10">
        <f aca="true" t="shared" si="18" ref="G38:T38">G24-G26-G36</f>
        <v>4097936.390000012</v>
      </c>
      <c r="H38" s="12">
        <f t="shared" si="18"/>
        <v>-26601736.03</v>
      </c>
      <c r="I38" s="10">
        <f t="shared" si="18"/>
        <v>6071501.390000012</v>
      </c>
      <c r="J38" s="10">
        <f t="shared" si="18"/>
        <v>2745650.3170000017</v>
      </c>
      <c r="K38" s="10">
        <f t="shared" si="18"/>
        <v>7434673.1316599995</v>
      </c>
      <c r="L38" s="10">
        <f t="shared" si="18"/>
        <v>9089583.819625303</v>
      </c>
      <c r="M38" s="10">
        <f t="shared" si="18"/>
        <v>9153539.142192714</v>
      </c>
      <c r="N38" s="10">
        <f t="shared" si="18"/>
        <v>14402900.33653266</v>
      </c>
      <c r="O38" s="10">
        <f t="shared" si="18"/>
        <v>11893817.038893245</v>
      </c>
      <c r="P38" s="10">
        <f t="shared" si="18"/>
        <v>12224556.571794122</v>
      </c>
      <c r="Q38" s="10">
        <f t="shared" si="18"/>
        <v>10494218.939724736</v>
      </c>
      <c r="R38" s="10">
        <f t="shared" si="18"/>
        <v>13350672.92021358</v>
      </c>
      <c r="S38" s="10">
        <f t="shared" si="18"/>
        <v>16241307.763479095</v>
      </c>
      <c r="T38" s="10">
        <f t="shared" si="18"/>
        <v>22806778.750846285</v>
      </c>
      <c r="U38" s="62"/>
      <c r="V38" s="62"/>
      <c r="W38" s="62"/>
      <c r="X38" s="62"/>
      <c r="Y38" s="62"/>
      <c r="Z38" s="62"/>
    </row>
    <row r="39" spans="1:26" s="13" customFormat="1" ht="33.75" customHeight="1">
      <c r="A39" s="8" t="s">
        <v>81</v>
      </c>
      <c r="B39" s="9" t="s">
        <v>82</v>
      </c>
      <c r="C39" s="10">
        <f>C40+C44</f>
        <v>5093357</v>
      </c>
      <c r="D39" s="10">
        <f>D40+D44</f>
        <v>11888305</v>
      </c>
      <c r="E39" s="10">
        <f>E40+E44</f>
        <v>12950483.21</v>
      </c>
      <c r="F39" s="11">
        <f t="shared" si="16"/>
        <v>25.74856953981141</v>
      </c>
      <c r="G39" s="10">
        <f aca="true" t="shared" si="19" ref="G39:T39">G40+G44</f>
        <v>12210581</v>
      </c>
      <c r="H39" s="12">
        <f t="shared" si="19"/>
        <v>3144049.94</v>
      </c>
      <c r="I39" s="10">
        <f t="shared" si="19"/>
        <v>6520621</v>
      </c>
      <c r="J39" s="10">
        <f t="shared" si="19"/>
        <v>6897930</v>
      </c>
      <c r="K39" s="10">
        <f t="shared" si="19"/>
        <v>11494644</v>
      </c>
      <c r="L39" s="10">
        <f t="shared" si="19"/>
        <v>7325340</v>
      </c>
      <c r="M39" s="10">
        <f t="shared" si="19"/>
        <v>1700000</v>
      </c>
      <c r="N39" s="10">
        <f t="shared" si="19"/>
        <v>9000000</v>
      </c>
      <c r="O39" s="10">
        <f t="shared" si="19"/>
        <v>5600000</v>
      </c>
      <c r="P39" s="10">
        <f t="shared" si="19"/>
        <v>7500000</v>
      </c>
      <c r="Q39" s="10">
        <f t="shared" si="19"/>
        <v>4000000</v>
      </c>
      <c r="R39" s="10">
        <f t="shared" si="19"/>
        <v>4900001</v>
      </c>
      <c r="S39" s="10">
        <f t="shared" si="19"/>
        <v>4900002</v>
      </c>
      <c r="T39" s="10">
        <f t="shared" si="19"/>
        <v>0</v>
      </c>
      <c r="U39" s="62"/>
      <c r="V39" s="62"/>
      <c r="W39" s="62"/>
      <c r="X39" s="62"/>
      <c r="Y39" s="62"/>
      <c r="Z39" s="62"/>
    </row>
    <row r="40" spans="1:26" ht="33.75" customHeight="1">
      <c r="A40" s="14" t="s">
        <v>83</v>
      </c>
      <c r="B40" s="15" t="s">
        <v>84</v>
      </c>
      <c r="C40" s="22">
        <f>C41+C43</f>
        <v>0</v>
      </c>
      <c r="D40" s="22">
        <f>D41+D43</f>
        <v>0</v>
      </c>
      <c r="E40" s="22">
        <f>E41+E43</f>
        <v>0</v>
      </c>
      <c r="F40" s="17">
        <f t="shared" si="16"/>
        <v>0</v>
      </c>
      <c r="G40" s="22">
        <f aca="true" t="shared" si="20" ref="G40:T40">G41+G43+G42</f>
        <v>5500492</v>
      </c>
      <c r="H40" s="23">
        <f t="shared" si="20"/>
        <v>0</v>
      </c>
      <c r="I40" s="22">
        <f t="shared" si="20"/>
        <v>5601250</v>
      </c>
      <c r="J40" s="22">
        <f t="shared" si="20"/>
        <v>6897930</v>
      </c>
      <c r="K40" s="22">
        <f t="shared" si="20"/>
        <v>11494644</v>
      </c>
      <c r="L40" s="22">
        <f t="shared" si="20"/>
        <v>7325340</v>
      </c>
      <c r="M40" s="22">
        <f t="shared" si="20"/>
        <v>1000000</v>
      </c>
      <c r="N40" s="22">
        <f t="shared" si="20"/>
        <v>400000</v>
      </c>
      <c r="O40" s="22">
        <f t="shared" si="20"/>
        <v>0</v>
      </c>
      <c r="P40" s="22">
        <f t="shared" si="20"/>
        <v>0</v>
      </c>
      <c r="Q40" s="22">
        <f t="shared" si="20"/>
        <v>0</v>
      </c>
      <c r="R40" s="22">
        <f t="shared" si="20"/>
        <v>0</v>
      </c>
      <c r="S40" s="22">
        <f t="shared" si="20"/>
        <v>0</v>
      </c>
      <c r="T40" s="22">
        <f t="shared" si="20"/>
        <v>0</v>
      </c>
      <c r="U40" s="45"/>
      <c r="V40" s="45"/>
      <c r="W40" s="45"/>
      <c r="X40" s="45"/>
      <c r="Y40" s="45"/>
      <c r="Z40" s="45"/>
    </row>
    <row r="41" spans="1:26" ht="45" customHeight="1">
      <c r="A41" s="245"/>
      <c r="B41" s="25" t="s">
        <v>85</v>
      </c>
      <c r="C41" s="18"/>
      <c r="D41" s="18"/>
      <c r="E41" s="18"/>
      <c r="F41" s="17">
        <f t="shared" si="16"/>
        <v>0</v>
      </c>
      <c r="G41" s="22">
        <f>'załacznik 2'!J11</f>
        <v>1257742</v>
      </c>
      <c r="H41" s="23">
        <f>'załacznik 2'!K11</f>
        <v>0</v>
      </c>
      <c r="I41" s="22">
        <f>'załacznik 2'!L11</f>
        <v>2510000</v>
      </c>
      <c r="J41" s="22">
        <f>'załacznik 2'!M11</f>
        <v>5962930</v>
      </c>
      <c r="K41" s="22">
        <f>'załacznik 2'!N11</f>
        <v>2819644</v>
      </c>
      <c r="L41" s="22">
        <f>'załacznik 2'!O11</f>
        <v>1310000</v>
      </c>
      <c r="M41" s="22">
        <f>'załacznik 2'!P11</f>
        <v>500000</v>
      </c>
      <c r="N41" s="22">
        <f>'załacznik 2'!Q11</f>
        <v>0</v>
      </c>
      <c r="O41" s="22">
        <f>'załacznik 2'!R11</f>
        <v>0</v>
      </c>
      <c r="P41" s="22">
        <f>'załacznik 2'!S11</f>
        <v>0</v>
      </c>
      <c r="Q41" s="22">
        <f>'załacznik 2'!T11</f>
        <v>0</v>
      </c>
      <c r="R41" s="22">
        <f>'załacznik 2'!U11</f>
        <v>0</v>
      </c>
      <c r="S41" s="22">
        <f>'załacznik 2'!V11</f>
        <v>0</v>
      </c>
      <c r="T41" s="22">
        <f>'załacznik 2'!W11</f>
        <v>0</v>
      </c>
      <c r="U41" s="45"/>
      <c r="V41" s="45"/>
      <c r="W41" s="45"/>
      <c r="X41" s="45"/>
      <c r="Y41" s="45"/>
      <c r="Z41" s="45"/>
    </row>
    <row r="42" spans="1:26" ht="33.75" customHeight="1">
      <c r="A42" s="245"/>
      <c r="B42" s="25" t="s">
        <v>86</v>
      </c>
      <c r="C42" s="18"/>
      <c r="D42" s="18"/>
      <c r="E42" s="18"/>
      <c r="F42" s="17">
        <f t="shared" si="16"/>
        <v>0</v>
      </c>
      <c r="G42" s="22">
        <f>'załacznik 2'!J35</f>
        <v>4242750</v>
      </c>
      <c r="H42" s="23">
        <f>'załacznik 2'!K35</f>
        <v>0</v>
      </c>
      <c r="I42" s="22">
        <f>'załacznik 2'!L35</f>
        <v>3091250</v>
      </c>
      <c r="J42" s="22">
        <f>'załacznik 2'!M35</f>
        <v>935000</v>
      </c>
      <c r="K42" s="22">
        <f>'załacznik 2'!N35</f>
        <v>8675000</v>
      </c>
      <c r="L42" s="22">
        <f>'załacznik 2'!O35</f>
        <v>6015340</v>
      </c>
      <c r="M42" s="22">
        <f>'załacznik 2'!P35</f>
        <v>500000</v>
      </c>
      <c r="N42" s="22">
        <f>'załacznik 2'!Q35</f>
        <v>400000</v>
      </c>
      <c r="O42" s="22">
        <f>'załacznik 2'!R35</f>
        <v>0</v>
      </c>
      <c r="P42" s="22">
        <f>'załacznik 2'!S35</f>
        <v>0</v>
      </c>
      <c r="Q42" s="22">
        <f>'załacznik 2'!T35</f>
        <v>0</v>
      </c>
      <c r="R42" s="22">
        <f>'załacznik 2'!U35</f>
        <v>0</v>
      </c>
      <c r="S42" s="22">
        <f>'załacznik 2'!V35</f>
        <v>0</v>
      </c>
      <c r="T42" s="22">
        <f>'załacznik 2'!W35</f>
        <v>0</v>
      </c>
      <c r="U42" s="45"/>
      <c r="V42" s="45"/>
      <c r="W42" s="45"/>
      <c r="X42" s="45"/>
      <c r="Y42" s="45"/>
      <c r="Z42" s="45"/>
    </row>
    <row r="43" spans="1:26" ht="33.75" customHeight="1">
      <c r="A43" s="245"/>
      <c r="B43" s="25" t="s">
        <v>41</v>
      </c>
      <c r="C43" s="18"/>
      <c r="D43" s="18"/>
      <c r="E43" s="18"/>
      <c r="F43" s="11"/>
      <c r="G43" s="22">
        <f>'załacznik 2'!J30</f>
        <v>0</v>
      </c>
      <c r="H43" s="23">
        <f>'załacznik 2'!K30</f>
        <v>0</v>
      </c>
      <c r="I43" s="22">
        <f>'załacznik 2'!L30</f>
        <v>0</v>
      </c>
      <c r="J43" s="22">
        <f>'załacznik 2'!M30</f>
        <v>0</v>
      </c>
      <c r="K43" s="22">
        <f>'załacznik 2'!N30</f>
        <v>0</v>
      </c>
      <c r="L43" s="22">
        <f>'załacznik 2'!O30</f>
        <v>0</v>
      </c>
      <c r="M43" s="22">
        <f>'załacznik 2'!X30</f>
        <v>0</v>
      </c>
      <c r="N43" s="22">
        <f>'załacznik 2'!Y30</f>
        <v>0</v>
      </c>
      <c r="O43" s="22">
        <f>'załacznik 2'!Z30</f>
        <v>0</v>
      </c>
      <c r="P43" s="22">
        <f>'załacznik 2'!AA30</f>
        <v>0</v>
      </c>
      <c r="Q43" s="22">
        <f>'załacznik 2'!AB30</f>
        <v>0</v>
      </c>
      <c r="R43" s="22">
        <f>'załacznik 2'!Z30</f>
        <v>0</v>
      </c>
      <c r="S43" s="22">
        <f>'załacznik 2'!AA30</f>
        <v>0</v>
      </c>
      <c r="T43" s="63"/>
      <c r="U43" s="45"/>
      <c r="V43" s="45"/>
      <c r="W43" s="45"/>
      <c r="X43" s="45"/>
      <c r="Y43" s="45"/>
      <c r="Z43" s="45"/>
    </row>
    <row r="44" spans="1:26" ht="33.75" customHeight="1">
      <c r="A44" s="14" t="s">
        <v>87</v>
      </c>
      <c r="B44" s="15" t="s">
        <v>88</v>
      </c>
      <c r="C44" s="18">
        <v>5093357</v>
      </c>
      <c r="D44" s="18">
        <v>11888305</v>
      </c>
      <c r="E44" s="18">
        <v>12950483.21</v>
      </c>
      <c r="F44" s="17">
        <f>H44/G44*100</f>
        <v>46.85556242249544</v>
      </c>
      <c r="G44" s="18">
        <f>12210581-G40</f>
        <v>6710089</v>
      </c>
      <c r="H44" s="19">
        <f>3144049.94-H40</f>
        <v>3144049.94</v>
      </c>
      <c r="I44" s="18">
        <f>6520621-I40</f>
        <v>919371</v>
      </c>
      <c r="J44" s="18">
        <v>0</v>
      </c>
      <c r="K44" s="21"/>
      <c r="L44" s="21"/>
      <c r="M44" s="21">
        <v>700000</v>
      </c>
      <c r="N44" s="21">
        <v>8600000</v>
      </c>
      <c r="O44" s="21">
        <v>5600000</v>
      </c>
      <c r="P44" s="21">
        <v>7500000</v>
      </c>
      <c r="Q44" s="21">
        <v>4000000</v>
      </c>
      <c r="R44" s="21">
        <v>4900001</v>
      </c>
      <c r="S44" s="21">
        <v>4900002</v>
      </c>
      <c r="T44" s="21"/>
      <c r="U44" s="45"/>
      <c r="V44" s="45"/>
      <c r="W44" s="45"/>
      <c r="X44" s="45"/>
      <c r="Y44" s="45"/>
      <c r="Z44" s="45"/>
    </row>
    <row r="45" spans="1:26" s="13" customFormat="1" ht="33.75" customHeight="1">
      <c r="A45" s="8" t="s">
        <v>89</v>
      </c>
      <c r="B45" s="9" t="s">
        <v>90</v>
      </c>
      <c r="C45" s="64">
        <v>749491</v>
      </c>
      <c r="D45" s="64">
        <f>8000000+2999160</f>
        <v>10999160</v>
      </c>
      <c r="E45" s="64">
        <f>8000000+500000+1507200+500000</f>
        <v>10507200</v>
      </c>
      <c r="F45" s="11">
        <f>H45/G45*100</f>
        <v>266.53606045640174</v>
      </c>
      <c r="G45" s="64">
        <v>11152632</v>
      </c>
      <c r="H45" s="64">
        <f>-(H6-H10+H20-H26-H39)</f>
        <v>29725785.970000003</v>
      </c>
      <c r="I45" s="64">
        <f>-(I6-I10+I20-I26-I39)</f>
        <v>449119.6099999882</v>
      </c>
      <c r="J45" s="64">
        <f>-(J6-J10+J20-J26-J39)</f>
        <v>4152279.6829999983</v>
      </c>
      <c r="K45" s="64">
        <f>-(K6-K10+K20-K26-K39)</f>
        <v>4059970.8683400005</v>
      </c>
      <c r="L45" s="64"/>
      <c r="M45" s="64"/>
      <c r="N45" s="64"/>
      <c r="O45" s="64"/>
      <c r="P45" s="64"/>
      <c r="Q45" s="64"/>
      <c r="R45" s="64"/>
      <c r="S45" s="65"/>
      <c r="T45" s="65"/>
      <c r="U45" s="62"/>
      <c r="V45" s="62"/>
      <c r="W45" s="62"/>
      <c r="X45" s="62"/>
      <c r="Y45" s="62"/>
      <c r="Z45" s="62"/>
    </row>
    <row r="46" spans="1:26" s="51" customFormat="1" ht="46.5" customHeight="1">
      <c r="A46" s="66"/>
      <c r="B46" s="46" t="s">
        <v>66</v>
      </c>
      <c r="C46" s="46"/>
      <c r="D46" s="46"/>
      <c r="E46" s="46"/>
      <c r="F46" s="11"/>
      <c r="G46" s="55"/>
      <c r="H46" s="56"/>
      <c r="I46" s="47"/>
      <c r="J46" s="48"/>
      <c r="K46" s="48"/>
      <c r="L46" s="48"/>
      <c r="M46" s="49"/>
      <c r="N46" s="49"/>
      <c r="O46" s="49"/>
      <c r="P46" s="49"/>
      <c r="Q46" s="49"/>
      <c r="R46" s="49"/>
      <c r="S46" s="49"/>
      <c r="T46" s="49"/>
      <c r="U46" s="50"/>
      <c r="V46" s="50"/>
      <c r="W46" s="50"/>
      <c r="X46" s="50"/>
      <c r="Y46" s="50"/>
      <c r="Z46" s="50"/>
    </row>
    <row r="47" spans="1:26" s="13" customFormat="1" ht="49.5" customHeight="1">
      <c r="A47" s="8" t="s">
        <v>91</v>
      </c>
      <c r="B47" s="9" t="s">
        <v>92</v>
      </c>
      <c r="C47" s="10">
        <f>C38-C39+C45</f>
        <v>-172584</v>
      </c>
      <c r="D47" s="10">
        <f>D38-D39+D45</f>
        <v>881964.8800000027</v>
      </c>
      <c r="E47" s="10">
        <f>E38-E39+E45</f>
        <v>345790.1500000097</v>
      </c>
      <c r="F47" s="11">
        <v>0</v>
      </c>
      <c r="G47" s="10">
        <f>G38-G39+G45+G36</f>
        <v>3159987.390000012</v>
      </c>
      <c r="H47" s="10">
        <f>H38-H39+H45+H36</f>
        <v>0</v>
      </c>
      <c r="I47" s="10">
        <v>0</v>
      </c>
      <c r="J47" s="10">
        <f aca="true" t="shared" si="21" ref="J47:T47">J38-J39+J45</f>
        <v>0</v>
      </c>
      <c r="K47" s="10">
        <f t="shared" si="21"/>
        <v>0</v>
      </c>
      <c r="L47" s="10">
        <f t="shared" si="21"/>
        <v>1764243.8196253031</v>
      </c>
      <c r="M47" s="10">
        <f t="shared" si="21"/>
        <v>7453539.142192714</v>
      </c>
      <c r="N47" s="10">
        <f t="shared" si="21"/>
        <v>5402900.33653266</v>
      </c>
      <c r="O47" s="10">
        <f t="shared" si="21"/>
        <v>6293817.038893245</v>
      </c>
      <c r="P47" s="10">
        <f t="shared" si="21"/>
        <v>4724556.571794122</v>
      </c>
      <c r="Q47" s="10">
        <f t="shared" si="21"/>
        <v>6494218.939724736</v>
      </c>
      <c r="R47" s="10">
        <f t="shared" si="21"/>
        <v>8450671.92021358</v>
      </c>
      <c r="S47" s="10">
        <f t="shared" si="21"/>
        <v>11341305.763479095</v>
      </c>
      <c r="T47" s="10">
        <f t="shared" si="21"/>
        <v>22806778.750846285</v>
      </c>
      <c r="U47" s="62"/>
      <c r="V47" s="62"/>
      <c r="W47" s="62"/>
      <c r="X47" s="62"/>
      <c r="Y47" s="62"/>
      <c r="Z47" s="62"/>
    </row>
    <row r="48" spans="1:26" ht="31.5" customHeight="1">
      <c r="A48" s="247" t="s">
        <v>93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45"/>
      <c r="V48" s="45"/>
      <c r="W48" s="45"/>
      <c r="X48" s="45"/>
      <c r="Y48" s="45"/>
      <c r="Z48" s="45"/>
    </row>
    <row r="49" spans="1:26" s="69" customFormat="1" ht="46.5" customHeight="1">
      <c r="A49" s="247" t="s">
        <v>2</v>
      </c>
      <c r="B49" s="247" t="s">
        <v>3</v>
      </c>
      <c r="C49" s="247" t="s">
        <v>4</v>
      </c>
      <c r="D49" s="247"/>
      <c r="E49" s="247"/>
      <c r="F49" s="67"/>
      <c r="G49" s="251" t="s">
        <v>5</v>
      </c>
      <c r="H49" s="67"/>
      <c r="I49" s="252" t="s">
        <v>94</v>
      </c>
      <c r="J49" s="249" t="s">
        <v>7</v>
      </c>
      <c r="K49" s="249"/>
      <c r="L49" s="249"/>
      <c r="M49" s="249"/>
      <c r="N49" s="249"/>
      <c r="O49" s="249"/>
      <c r="P49" s="249"/>
      <c r="Q49" s="249"/>
      <c r="R49" s="249"/>
      <c r="S49" s="249"/>
      <c r="T49" s="41"/>
      <c r="U49" s="68"/>
      <c r="V49" s="68"/>
      <c r="W49" s="68"/>
      <c r="X49" s="68"/>
      <c r="Y49" s="68"/>
      <c r="Z49" s="68"/>
    </row>
    <row r="50" spans="1:26" s="69" customFormat="1" ht="33.75" customHeight="1">
      <c r="A50" s="247"/>
      <c r="B50" s="247"/>
      <c r="C50" s="39" t="s">
        <v>8</v>
      </c>
      <c r="D50" s="39" t="s">
        <v>9</v>
      </c>
      <c r="E50" s="39" t="s">
        <v>10</v>
      </c>
      <c r="F50" s="67"/>
      <c r="G50" s="251"/>
      <c r="H50" s="70"/>
      <c r="I50" s="252"/>
      <c r="J50" s="41" t="s">
        <v>13</v>
      </c>
      <c r="K50" s="41" t="s">
        <v>14</v>
      </c>
      <c r="L50" s="41" t="s">
        <v>15</v>
      </c>
      <c r="M50" s="41" t="s">
        <v>16</v>
      </c>
      <c r="N50" s="41" t="s">
        <v>17</v>
      </c>
      <c r="O50" s="41" t="s">
        <v>18</v>
      </c>
      <c r="P50" s="41" t="s">
        <v>19</v>
      </c>
      <c r="Q50" s="41" t="s">
        <v>20</v>
      </c>
      <c r="R50" s="41" t="s">
        <v>21</v>
      </c>
      <c r="S50" s="41" t="s">
        <v>22</v>
      </c>
      <c r="T50" s="41" t="s">
        <v>23</v>
      </c>
      <c r="U50" s="68"/>
      <c r="V50" s="68"/>
      <c r="W50" s="68"/>
      <c r="X50" s="68"/>
      <c r="Y50" s="68"/>
      <c r="Z50" s="68"/>
    </row>
    <row r="51" spans="1:26" s="1" customFormat="1" ht="19.5" customHeight="1">
      <c r="A51" s="14">
        <v>1</v>
      </c>
      <c r="B51" s="14">
        <v>2</v>
      </c>
      <c r="C51" s="14">
        <v>3</v>
      </c>
      <c r="D51" s="14">
        <v>4</v>
      </c>
      <c r="E51" s="14">
        <v>5</v>
      </c>
      <c r="F51" s="23">
        <v>6</v>
      </c>
      <c r="G51" s="14">
        <v>6</v>
      </c>
      <c r="H51" s="71">
        <v>8</v>
      </c>
      <c r="I51" s="14">
        <v>7</v>
      </c>
      <c r="J51" s="14">
        <v>8</v>
      </c>
      <c r="K51" s="14">
        <v>9</v>
      </c>
      <c r="L51" s="14">
        <v>10</v>
      </c>
      <c r="M51" s="14">
        <v>11</v>
      </c>
      <c r="N51" s="14">
        <v>12</v>
      </c>
      <c r="O51" s="14">
        <v>13</v>
      </c>
      <c r="P51" s="14">
        <v>14</v>
      </c>
      <c r="Q51" s="14">
        <v>15</v>
      </c>
      <c r="R51" s="14">
        <v>16</v>
      </c>
      <c r="S51" s="14">
        <v>17</v>
      </c>
      <c r="T51" s="14">
        <v>18</v>
      </c>
      <c r="U51" s="72"/>
      <c r="V51" s="72"/>
      <c r="W51" s="72"/>
      <c r="X51" s="72"/>
      <c r="Y51" s="72"/>
      <c r="Z51" s="72"/>
    </row>
    <row r="52" spans="1:26" s="13" customFormat="1" ht="33.75" customHeight="1">
      <c r="A52" s="8" t="s">
        <v>95</v>
      </c>
      <c r="B52" s="9" t="s">
        <v>96</v>
      </c>
      <c r="C52" s="64">
        <v>3116330</v>
      </c>
      <c r="D52" s="64">
        <f>C52+D45-D55</f>
        <v>12364923</v>
      </c>
      <c r="E52" s="64">
        <f>D52+E45-E55</f>
        <v>21364009</v>
      </c>
      <c r="F52" s="11">
        <f>H52/G52*100</f>
        <v>167.07149517068052</v>
      </c>
      <c r="G52" s="64">
        <f>E52+G45-G55+G54</f>
        <v>28367972</v>
      </c>
      <c r="H52" s="73">
        <f>E52+H45-H55</f>
        <v>47394794.97</v>
      </c>
      <c r="I52" s="64">
        <f>G52+I45-I55-G54+I54</f>
        <v>25022091.60999999</v>
      </c>
      <c r="J52" s="64">
        <f>I52+J45-J55-I54+J54</f>
        <v>25379371.292999987</v>
      </c>
      <c r="K52" s="64">
        <f>J52+K45-K55-J54+K54</f>
        <v>27144342.161339987</v>
      </c>
      <c r="L52" s="64">
        <f>K52+L45-L55-K54+L54</f>
        <v>24435987.161339987</v>
      </c>
      <c r="M52" s="64">
        <f aca="true" t="shared" si="22" ref="M52:R52">L52+M45-M55</f>
        <v>20632972.161339987</v>
      </c>
      <c r="N52" s="64">
        <f t="shared" si="22"/>
        <v>16829957.161339987</v>
      </c>
      <c r="O52" s="64">
        <f t="shared" si="22"/>
        <v>12915070.161339987</v>
      </c>
      <c r="P52" s="64">
        <f t="shared" si="22"/>
        <v>9050183.161339987</v>
      </c>
      <c r="Q52" s="64">
        <f t="shared" si="22"/>
        <v>5685296.161339987</v>
      </c>
      <c r="R52" s="64">
        <f t="shared" si="22"/>
        <v>2695409.161339987</v>
      </c>
      <c r="S52" s="10">
        <f>S55-R52</f>
        <v>0</v>
      </c>
      <c r="T52" s="10"/>
      <c r="U52" s="62"/>
      <c r="V52" s="62"/>
      <c r="W52" s="62"/>
      <c r="X52" s="62"/>
      <c r="Y52" s="62"/>
      <c r="Z52" s="62"/>
    </row>
    <row r="53" spans="1:26" s="51" customFormat="1" ht="46.5" customHeight="1">
      <c r="A53" s="66"/>
      <c r="B53" s="46" t="s">
        <v>75</v>
      </c>
      <c r="C53" s="74"/>
      <c r="D53" s="74"/>
      <c r="E53" s="74"/>
      <c r="F53" s="11"/>
      <c r="G53" s="55"/>
      <c r="H53" s="56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49"/>
      <c r="U53" s="50"/>
      <c r="V53" s="50"/>
      <c r="W53" s="50"/>
      <c r="X53" s="50"/>
      <c r="Y53" s="50"/>
      <c r="Z53" s="50"/>
    </row>
    <row r="54" spans="1:26" s="51" customFormat="1" ht="45" customHeight="1">
      <c r="A54" s="66"/>
      <c r="B54" s="75" t="s">
        <v>97</v>
      </c>
      <c r="C54" s="74"/>
      <c r="D54" s="74"/>
      <c r="E54" s="74"/>
      <c r="F54" s="11"/>
      <c r="G54" s="22">
        <v>340340</v>
      </c>
      <c r="H54" s="22">
        <f>95000*4</f>
        <v>380000</v>
      </c>
      <c r="I54" s="22">
        <f>G54-95000</f>
        <v>245340</v>
      </c>
      <c r="J54" s="22">
        <f>I54-95000</f>
        <v>150340</v>
      </c>
      <c r="K54" s="22">
        <f>J54-95000</f>
        <v>55340</v>
      </c>
      <c r="L54" s="55"/>
      <c r="M54" s="55"/>
      <c r="N54" s="55"/>
      <c r="O54" s="55"/>
      <c r="P54" s="55"/>
      <c r="Q54" s="55"/>
      <c r="R54" s="55"/>
      <c r="S54" s="55"/>
      <c r="T54" s="49"/>
      <c r="U54" s="50"/>
      <c r="V54" s="50"/>
      <c r="W54" s="50"/>
      <c r="X54" s="50"/>
      <c r="Y54" s="50"/>
      <c r="Z54" s="50"/>
    </row>
    <row r="55" spans="1:26" s="13" customFormat="1" ht="33.75" customHeight="1">
      <c r="A55" s="8" t="s">
        <v>98</v>
      </c>
      <c r="B55" s="9" t="s">
        <v>99</v>
      </c>
      <c r="C55" s="10">
        <f>C34</f>
        <v>1526687</v>
      </c>
      <c r="D55" s="10">
        <f>D34</f>
        <v>1750567</v>
      </c>
      <c r="E55" s="10">
        <f>E34</f>
        <v>1508114</v>
      </c>
      <c r="F55" s="11">
        <f>H55/G55*100</f>
        <v>82.31215397429588</v>
      </c>
      <c r="G55" s="10">
        <f aca="true" t="shared" si="23" ref="G55:T55">G34</f>
        <v>4489009</v>
      </c>
      <c r="H55" s="12">
        <f t="shared" si="23"/>
        <v>3695000</v>
      </c>
      <c r="I55" s="10">
        <f t="shared" si="23"/>
        <v>3700000</v>
      </c>
      <c r="J55" s="10">
        <f t="shared" si="23"/>
        <v>3700000</v>
      </c>
      <c r="K55" s="10">
        <f t="shared" si="23"/>
        <v>2200000</v>
      </c>
      <c r="L55" s="10">
        <f t="shared" si="23"/>
        <v>2653015</v>
      </c>
      <c r="M55" s="10">
        <f t="shared" si="23"/>
        <v>3803015</v>
      </c>
      <c r="N55" s="10">
        <f t="shared" si="23"/>
        <v>3803015</v>
      </c>
      <c r="O55" s="10">
        <f t="shared" si="23"/>
        <v>3914887</v>
      </c>
      <c r="P55" s="10">
        <f t="shared" si="23"/>
        <v>3864887</v>
      </c>
      <c r="Q55" s="10">
        <f t="shared" si="23"/>
        <v>3364887</v>
      </c>
      <c r="R55" s="10">
        <f t="shared" si="23"/>
        <v>2989887</v>
      </c>
      <c r="S55" s="10">
        <f t="shared" si="23"/>
        <v>2695409.161339987</v>
      </c>
      <c r="T55" s="10">
        <f t="shared" si="23"/>
        <v>0</v>
      </c>
      <c r="U55" s="62"/>
      <c r="V55" s="62"/>
      <c r="W55" s="62"/>
      <c r="X55" s="62"/>
      <c r="Y55" s="62"/>
      <c r="Z55" s="62"/>
    </row>
    <row r="56" spans="1:26" s="51" customFormat="1" ht="46.5" customHeight="1">
      <c r="A56" s="66"/>
      <c r="B56" s="46" t="s">
        <v>75</v>
      </c>
      <c r="C56" s="55"/>
      <c r="D56" s="55"/>
      <c r="E56" s="55"/>
      <c r="F56" s="11"/>
      <c r="G56" s="55"/>
      <c r="H56" s="56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0"/>
      <c r="V56" s="50"/>
      <c r="W56" s="50"/>
      <c r="X56" s="50"/>
      <c r="Y56" s="50"/>
      <c r="Z56" s="50"/>
    </row>
    <row r="57" spans="1:26" s="13" customFormat="1" ht="46.5" customHeight="1">
      <c r="A57" s="8" t="s">
        <v>100</v>
      </c>
      <c r="B57" s="9" t="s">
        <v>101</v>
      </c>
      <c r="C57" s="10">
        <f>C58+C59+C60+C61</f>
        <v>1526687</v>
      </c>
      <c r="D57" s="10">
        <f>D58+D59+D60+D61</f>
        <v>1750567</v>
      </c>
      <c r="E57" s="10">
        <f>E58+E59+E60+E61</f>
        <v>1508114</v>
      </c>
      <c r="F57" s="11">
        <f>H57/G57*100</f>
        <v>82.31215397429588</v>
      </c>
      <c r="G57" s="10">
        <f aca="true" t="shared" si="24" ref="G57:T57">G58+G59+G60+G61</f>
        <v>4489009</v>
      </c>
      <c r="H57" s="12">
        <f t="shared" si="24"/>
        <v>3695000</v>
      </c>
      <c r="I57" s="10">
        <f t="shared" si="24"/>
        <v>3700000</v>
      </c>
      <c r="J57" s="10">
        <f t="shared" si="24"/>
        <v>4152279.6829999983</v>
      </c>
      <c r="K57" s="10">
        <f t="shared" si="24"/>
        <v>2200000</v>
      </c>
      <c r="L57" s="10">
        <f t="shared" si="24"/>
        <v>4417258.819625303</v>
      </c>
      <c r="M57" s="10">
        <f t="shared" si="24"/>
        <v>3803015</v>
      </c>
      <c r="N57" s="10">
        <f t="shared" si="24"/>
        <v>3803015</v>
      </c>
      <c r="O57" s="10">
        <f t="shared" si="24"/>
        <v>3914887</v>
      </c>
      <c r="P57" s="10">
        <f t="shared" si="24"/>
        <v>3864887</v>
      </c>
      <c r="Q57" s="10">
        <f t="shared" si="24"/>
        <v>3364887</v>
      </c>
      <c r="R57" s="10">
        <f t="shared" si="24"/>
        <v>2989887</v>
      </c>
      <c r="S57" s="10">
        <f t="shared" si="24"/>
        <v>2695409.161339987</v>
      </c>
      <c r="T57" s="10">
        <f t="shared" si="24"/>
        <v>0</v>
      </c>
      <c r="U57" s="62"/>
      <c r="V57" s="62"/>
      <c r="W57" s="62"/>
      <c r="X57" s="62"/>
      <c r="Y57" s="62"/>
      <c r="Z57" s="62"/>
    </row>
    <row r="58" spans="1:26" ht="43.5" customHeight="1">
      <c r="A58" s="245"/>
      <c r="B58" s="15" t="s">
        <v>102</v>
      </c>
      <c r="C58" s="18">
        <v>1026687</v>
      </c>
      <c r="D58" s="18"/>
      <c r="E58" s="18"/>
      <c r="F58" s="11"/>
      <c r="G58" s="18"/>
      <c r="H58" s="19"/>
      <c r="I58" s="18">
        <f>I82</f>
        <v>90893</v>
      </c>
      <c r="J58" s="18"/>
      <c r="K58" s="18"/>
      <c r="L58" s="18">
        <f>L82</f>
        <v>4417258.819625303</v>
      </c>
      <c r="M58" s="18">
        <f aca="true" t="shared" si="25" ref="M58:S58">M55</f>
        <v>3803015</v>
      </c>
      <c r="N58" s="18">
        <f t="shared" si="25"/>
        <v>3803015</v>
      </c>
      <c r="O58" s="18">
        <f t="shared" si="25"/>
        <v>3914887</v>
      </c>
      <c r="P58" s="18">
        <f t="shared" si="25"/>
        <v>3864887</v>
      </c>
      <c r="Q58" s="18">
        <f t="shared" si="25"/>
        <v>3364887</v>
      </c>
      <c r="R58" s="18">
        <f t="shared" si="25"/>
        <v>2989887</v>
      </c>
      <c r="S58" s="18">
        <f t="shared" si="25"/>
        <v>2695409.161339987</v>
      </c>
      <c r="T58" s="63"/>
      <c r="U58" s="45"/>
      <c r="V58" s="45"/>
      <c r="W58" s="45"/>
      <c r="X58" s="45"/>
      <c r="Y58" s="45"/>
      <c r="Z58" s="45"/>
    </row>
    <row r="59" spans="1:26" ht="33.75" customHeight="1">
      <c r="A59" s="245"/>
      <c r="B59" s="15" t="s">
        <v>103</v>
      </c>
      <c r="C59" s="18"/>
      <c r="D59" s="18"/>
      <c r="E59" s="18"/>
      <c r="F59" s="11"/>
      <c r="G59" s="18"/>
      <c r="H59" s="19"/>
      <c r="I59" s="76">
        <f aca="true" t="shared" si="26" ref="I59:N59">I22</f>
        <v>3159987.390000012</v>
      </c>
      <c r="J59" s="76">
        <f t="shared" si="26"/>
        <v>0</v>
      </c>
      <c r="K59" s="76">
        <f t="shared" si="26"/>
        <v>0</v>
      </c>
      <c r="L59" s="76">
        <f t="shared" si="26"/>
        <v>0</v>
      </c>
      <c r="M59" s="76">
        <f t="shared" si="26"/>
        <v>0</v>
      </c>
      <c r="N59" s="76">
        <f t="shared" si="26"/>
        <v>0</v>
      </c>
      <c r="O59" s="77"/>
      <c r="P59" s="77"/>
      <c r="Q59" s="77"/>
      <c r="R59" s="77"/>
      <c r="S59" s="18"/>
      <c r="T59" s="18"/>
      <c r="U59" s="45"/>
      <c r="V59" s="45"/>
      <c r="W59" s="45"/>
      <c r="X59" s="45"/>
      <c r="Y59" s="45"/>
      <c r="Z59" s="45"/>
    </row>
    <row r="60" spans="1:26" ht="33.75" customHeight="1">
      <c r="A60" s="245"/>
      <c r="B60" s="15" t="s">
        <v>104</v>
      </c>
      <c r="C60" s="18"/>
      <c r="D60" s="18"/>
      <c r="E60" s="18"/>
      <c r="F60" s="11"/>
      <c r="G60" s="18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45"/>
      <c r="V60" s="45"/>
      <c r="W60" s="45"/>
      <c r="X60" s="45"/>
      <c r="Y60" s="45"/>
      <c r="Z60" s="45"/>
    </row>
    <row r="61" spans="1:26" ht="33.75" customHeight="1">
      <c r="A61" s="245"/>
      <c r="B61" s="15" t="s">
        <v>105</v>
      </c>
      <c r="C61" s="16">
        <v>500000</v>
      </c>
      <c r="D61" s="18">
        <v>1750567</v>
      </c>
      <c r="E61" s="18">
        <f>E55</f>
        <v>1508114</v>
      </c>
      <c r="F61" s="17">
        <f>H61/G61*100</f>
        <v>82.31215397429588</v>
      </c>
      <c r="G61" s="18">
        <f>G55</f>
        <v>4489009</v>
      </c>
      <c r="H61" s="18">
        <f>H55</f>
        <v>3695000</v>
      </c>
      <c r="I61" s="18">
        <f>I55-I58-I59</f>
        <v>449119.6099999882</v>
      </c>
      <c r="J61" s="18">
        <f>J55-J82</f>
        <v>4152279.6829999983</v>
      </c>
      <c r="K61" s="18">
        <f>K55</f>
        <v>2200000</v>
      </c>
      <c r="L61" s="18"/>
      <c r="M61" s="18"/>
      <c r="N61" s="18"/>
      <c r="O61" s="18"/>
      <c r="P61" s="18"/>
      <c r="Q61" s="18"/>
      <c r="R61" s="18"/>
      <c r="S61" s="18"/>
      <c r="T61" s="18">
        <f>T55</f>
        <v>0</v>
      </c>
      <c r="U61" s="45"/>
      <c r="V61" s="45"/>
      <c r="W61" s="45"/>
      <c r="X61" s="45"/>
      <c r="Y61" s="45"/>
      <c r="Z61" s="45"/>
    </row>
    <row r="62" spans="1:26" s="13" customFormat="1" ht="33.75" customHeight="1">
      <c r="A62" s="8" t="s">
        <v>106</v>
      </c>
      <c r="B62" s="9" t="s">
        <v>107</v>
      </c>
      <c r="C62" s="10" t="s">
        <v>108</v>
      </c>
      <c r="D62" s="10" t="s">
        <v>108</v>
      </c>
      <c r="E62" s="10" t="s">
        <v>108</v>
      </c>
      <c r="F62" s="11" t="s">
        <v>108</v>
      </c>
      <c r="G62" s="10" t="s">
        <v>108</v>
      </c>
      <c r="H62" s="12" t="s">
        <v>108</v>
      </c>
      <c r="I62" s="10" t="s">
        <v>108</v>
      </c>
      <c r="J62" s="10" t="s">
        <v>108</v>
      </c>
      <c r="K62" s="10" t="s">
        <v>108</v>
      </c>
      <c r="L62" s="10" t="s">
        <v>108</v>
      </c>
      <c r="M62" s="10" t="s">
        <v>108</v>
      </c>
      <c r="N62" s="10" t="s">
        <v>108</v>
      </c>
      <c r="O62" s="10" t="s">
        <v>108</v>
      </c>
      <c r="P62" s="10" t="s">
        <v>108</v>
      </c>
      <c r="Q62" s="10" t="s">
        <v>108</v>
      </c>
      <c r="R62" s="10" t="s">
        <v>108</v>
      </c>
      <c r="S62" s="10" t="s">
        <v>108</v>
      </c>
      <c r="T62" s="10" t="s">
        <v>108</v>
      </c>
      <c r="U62" s="62"/>
      <c r="V62" s="62"/>
      <c r="W62" s="62"/>
      <c r="X62" s="62"/>
      <c r="Y62" s="62"/>
      <c r="Z62" s="62"/>
    </row>
    <row r="63" spans="1:26" s="51" customFormat="1" ht="46.5" customHeight="1">
      <c r="A63" s="66"/>
      <c r="B63" s="46" t="s">
        <v>75</v>
      </c>
      <c r="C63" s="55" t="s">
        <v>108</v>
      </c>
      <c r="D63" s="55" t="s">
        <v>108</v>
      </c>
      <c r="E63" s="55" t="s">
        <v>108</v>
      </c>
      <c r="F63" s="11" t="s">
        <v>108</v>
      </c>
      <c r="G63" s="10" t="s">
        <v>108</v>
      </c>
      <c r="H63" s="12" t="s">
        <v>108</v>
      </c>
      <c r="I63" s="10" t="s">
        <v>108</v>
      </c>
      <c r="J63" s="10" t="s">
        <v>108</v>
      </c>
      <c r="K63" s="10" t="s">
        <v>108</v>
      </c>
      <c r="L63" s="10" t="s">
        <v>108</v>
      </c>
      <c r="M63" s="10" t="s">
        <v>108</v>
      </c>
      <c r="N63" s="10" t="s">
        <v>108</v>
      </c>
      <c r="O63" s="10" t="s">
        <v>108</v>
      </c>
      <c r="P63" s="10" t="s">
        <v>108</v>
      </c>
      <c r="Q63" s="10" t="s">
        <v>108</v>
      </c>
      <c r="R63" s="10" t="s">
        <v>108</v>
      </c>
      <c r="S63" s="10" t="s">
        <v>108</v>
      </c>
      <c r="T63" s="10" t="s">
        <v>108</v>
      </c>
      <c r="U63" s="50"/>
      <c r="V63" s="50"/>
      <c r="W63" s="50"/>
      <c r="X63" s="50"/>
      <c r="Y63" s="50"/>
      <c r="Z63" s="50"/>
    </row>
    <row r="64" spans="1:26" s="13" customFormat="1" ht="33.75" customHeight="1">
      <c r="A64" s="8" t="s">
        <v>109</v>
      </c>
      <c r="B64" s="9" t="s">
        <v>110</v>
      </c>
      <c r="C64" s="10" t="s">
        <v>108</v>
      </c>
      <c r="D64" s="10" t="s">
        <v>108</v>
      </c>
      <c r="E64" s="10" t="s">
        <v>108</v>
      </c>
      <c r="F64" s="11" t="s">
        <v>108</v>
      </c>
      <c r="G64" s="10" t="s">
        <v>108</v>
      </c>
      <c r="H64" s="12" t="s">
        <v>108</v>
      </c>
      <c r="I64" s="10" t="s">
        <v>108</v>
      </c>
      <c r="J64" s="10" t="s">
        <v>108</v>
      </c>
      <c r="K64" s="10" t="s">
        <v>108</v>
      </c>
      <c r="L64" s="10" t="s">
        <v>108</v>
      </c>
      <c r="M64" s="10" t="s">
        <v>108</v>
      </c>
      <c r="N64" s="10" t="s">
        <v>108</v>
      </c>
      <c r="O64" s="10" t="s">
        <v>108</v>
      </c>
      <c r="P64" s="10" t="s">
        <v>108</v>
      </c>
      <c r="Q64" s="10" t="s">
        <v>108</v>
      </c>
      <c r="R64" s="10" t="s">
        <v>108</v>
      </c>
      <c r="S64" s="10" t="s">
        <v>108</v>
      </c>
      <c r="T64" s="10" t="s">
        <v>108</v>
      </c>
      <c r="U64" s="62"/>
      <c r="V64" s="62"/>
      <c r="W64" s="62"/>
      <c r="X64" s="62"/>
      <c r="Y64" s="62"/>
      <c r="Z64" s="62"/>
    </row>
    <row r="65" spans="1:26" s="51" customFormat="1" ht="46.5" customHeight="1">
      <c r="A65" s="66"/>
      <c r="B65" s="46" t="s">
        <v>75</v>
      </c>
      <c r="C65" s="55" t="s">
        <v>108</v>
      </c>
      <c r="D65" s="55" t="s">
        <v>108</v>
      </c>
      <c r="E65" s="55" t="s">
        <v>108</v>
      </c>
      <c r="F65" s="11" t="s">
        <v>108</v>
      </c>
      <c r="G65" s="10" t="s">
        <v>108</v>
      </c>
      <c r="H65" s="12" t="s">
        <v>108</v>
      </c>
      <c r="I65" s="10" t="s">
        <v>108</v>
      </c>
      <c r="J65" s="10" t="s">
        <v>108</v>
      </c>
      <c r="K65" s="10" t="s">
        <v>108</v>
      </c>
      <c r="L65" s="10" t="s">
        <v>108</v>
      </c>
      <c r="M65" s="10" t="s">
        <v>108</v>
      </c>
      <c r="N65" s="10" t="s">
        <v>108</v>
      </c>
      <c r="O65" s="10" t="s">
        <v>108</v>
      </c>
      <c r="P65" s="10" t="s">
        <v>108</v>
      </c>
      <c r="Q65" s="10" t="s">
        <v>108</v>
      </c>
      <c r="R65" s="10" t="s">
        <v>108</v>
      </c>
      <c r="S65" s="10" t="s">
        <v>108</v>
      </c>
      <c r="T65" s="10" t="s">
        <v>108</v>
      </c>
      <c r="U65" s="50"/>
      <c r="V65" s="50"/>
      <c r="W65" s="50"/>
      <c r="X65" s="50"/>
      <c r="Y65" s="50"/>
      <c r="Z65" s="50"/>
    </row>
    <row r="66" spans="1:26" s="13" customFormat="1" ht="31.5" customHeight="1">
      <c r="A66" s="8" t="s">
        <v>111</v>
      </c>
      <c r="B66" s="246" t="s">
        <v>112</v>
      </c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62"/>
      <c r="V66" s="62"/>
      <c r="W66" s="62"/>
      <c r="X66" s="62"/>
      <c r="Y66" s="62"/>
      <c r="Z66" s="62"/>
    </row>
    <row r="67" spans="1:26" ht="45" customHeight="1">
      <c r="A67" s="14" t="s">
        <v>113</v>
      </c>
      <c r="B67" s="15" t="s">
        <v>114</v>
      </c>
      <c r="C67" s="78">
        <f>C26/C6</f>
        <v>0.043607876423916184</v>
      </c>
      <c r="D67" s="78">
        <f>D26/D6</f>
        <v>0.052143237760637694</v>
      </c>
      <c r="E67" s="78">
        <f>E26/E6</f>
        <v>0.048208367159789635</v>
      </c>
      <c r="F67" s="17"/>
      <c r="G67" s="78">
        <f>G26/G6</f>
        <v>0.11308392940198095</v>
      </c>
      <c r="H67" s="79"/>
      <c r="I67" s="78">
        <f>I26/I6</f>
        <v>0.11170451941824029</v>
      </c>
      <c r="J67" s="78">
        <f>J26/J6</f>
        <v>0.11403137407853929</v>
      </c>
      <c r="K67" s="22" t="s">
        <v>108</v>
      </c>
      <c r="L67" s="22" t="s">
        <v>108</v>
      </c>
      <c r="M67" s="10" t="s">
        <v>108</v>
      </c>
      <c r="N67" s="10" t="s">
        <v>108</v>
      </c>
      <c r="O67" s="10" t="s">
        <v>108</v>
      </c>
      <c r="P67" s="10" t="s">
        <v>108</v>
      </c>
      <c r="Q67" s="10" t="s">
        <v>108</v>
      </c>
      <c r="R67" s="10" t="s">
        <v>108</v>
      </c>
      <c r="S67" s="10" t="s">
        <v>108</v>
      </c>
      <c r="T67" s="10" t="s">
        <v>108</v>
      </c>
      <c r="U67" s="45"/>
      <c r="V67" s="45"/>
      <c r="W67" s="45"/>
      <c r="X67" s="45"/>
      <c r="Y67" s="45"/>
      <c r="Z67" s="45"/>
    </row>
    <row r="68" spans="1:26" s="44" customFormat="1" ht="46.5" customHeight="1">
      <c r="A68" s="14"/>
      <c r="B68" s="46" t="s">
        <v>115</v>
      </c>
      <c r="C68" s="80">
        <f>(C26-C29-C31-C33-C35)/C6</f>
        <v>0.043607876423916184</v>
      </c>
      <c r="D68" s="80">
        <f>(D26-D29-D31-D33-D35)/D6</f>
        <v>0.052143237760637694</v>
      </c>
      <c r="E68" s="80">
        <f>(E26-E29-E31-E33-E35)/E6</f>
        <v>0.048208367159789635</v>
      </c>
      <c r="F68" s="17"/>
      <c r="G68" s="80">
        <f>(G26-G29-G31-G33-G35)/G6</f>
        <v>0.11308392940198095</v>
      </c>
      <c r="H68" s="81"/>
      <c r="I68" s="80">
        <f>(I26-I29-I31-I33-I35)/I6</f>
        <v>0.11170451941824029</v>
      </c>
      <c r="J68" s="80">
        <f>(J26-J29-J31-J33-J35)/J6</f>
        <v>0.11403137407853929</v>
      </c>
      <c r="K68" s="55" t="s">
        <v>108</v>
      </c>
      <c r="L68" s="55" t="s">
        <v>108</v>
      </c>
      <c r="M68" s="82" t="s">
        <v>108</v>
      </c>
      <c r="N68" s="82" t="s">
        <v>108</v>
      </c>
      <c r="O68" s="82" t="s">
        <v>108</v>
      </c>
      <c r="P68" s="82" t="s">
        <v>108</v>
      </c>
      <c r="Q68" s="82" t="s">
        <v>108</v>
      </c>
      <c r="R68" s="82" t="s">
        <v>108</v>
      </c>
      <c r="S68" s="82" t="s">
        <v>108</v>
      </c>
      <c r="T68" s="82" t="s">
        <v>108</v>
      </c>
      <c r="U68" s="43"/>
      <c r="V68" s="43"/>
      <c r="W68" s="43"/>
      <c r="X68" s="43"/>
      <c r="Y68" s="43"/>
      <c r="Z68" s="43"/>
    </row>
    <row r="69" spans="1:26" ht="45" customHeight="1">
      <c r="A69" s="14" t="s">
        <v>116</v>
      </c>
      <c r="B69" s="15" t="s">
        <v>117</v>
      </c>
      <c r="C69" s="78">
        <f>C52/C6</f>
        <v>0.07641471109899568</v>
      </c>
      <c r="D69" s="78">
        <f>D52/D6</f>
        <v>0.2969044982699002</v>
      </c>
      <c r="E69" s="78">
        <f>E52/E6</f>
        <v>0.4532995904536679</v>
      </c>
      <c r="F69" s="17"/>
      <c r="G69" s="78">
        <f>G52/G6</f>
        <v>0.5574244292792174</v>
      </c>
      <c r="H69" s="79"/>
      <c r="I69" s="78">
        <f>I52/I6</f>
        <v>0.4552929441460843</v>
      </c>
      <c r="J69" s="78">
        <f>J52/J6</f>
        <v>0.4569593380018399</v>
      </c>
      <c r="K69" s="22" t="s">
        <v>108</v>
      </c>
      <c r="L69" s="22" t="s">
        <v>108</v>
      </c>
      <c r="M69" s="10" t="s">
        <v>108</v>
      </c>
      <c r="N69" s="10" t="s">
        <v>108</v>
      </c>
      <c r="O69" s="10" t="s">
        <v>108</v>
      </c>
      <c r="P69" s="10" t="s">
        <v>108</v>
      </c>
      <c r="Q69" s="10" t="s">
        <v>108</v>
      </c>
      <c r="R69" s="10" t="s">
        <v>108</v>
      </c>
      <c r="S69" s="10" t="s">
        <v>108</v>
      </c>
      <c r="T69" s="10" t="s">
        <v>108</v>
      </c>
      <c r="U69" s="45"/>
      <c r="V69" s="45"/>
      <c r="W69" s="45"/>
      <c r="X69" s="45"/>
      <c r="Y69" s="45"/>
      <c r="Z69" s="45"/>
    </row>
    <row r="70" spans="1:26" s="44" customFormat="1" ht="46.5" customHeight="1">
      <c r="A70" s="14"/>
      <c r="B70" s="46" t="s">
        <v>118</v>
      </c>
      <c r="C70" s="80">
        <f>(C52-C53)/C6</f>
        <v>0.07641471109899568</v>
      </c>
      <c r="D70" s="80">
        <f>(D52-D53)/D6</f>
        <v>0.2969044982699002</v>
      </c>
      <c r="E70" s="80">
        <f>(E52-E53)/E6</f>
        <v>0.4532995904536679</v>
      </c>
      <c r="F70" s="17"/>
      <c r="G70" s="80">
        <f>(G52-G53)/G6</f>
        <v>0.5574244292792174</v>
      </c>
      <c r="H70" s="81"/>
      <c r="I70" s="80">
        <f>(I52-I53)/I6</f>
        <v>0.4552929441460843</v>
      </c>
      <c r="J70" s="80">
        <f>(J52-J53)/J6</f>
        <v>0.4569593380018399</v>
      </c>
      <c r="K70" s="55" t="s">
        <v>108</v>
      </c>
      <c r="L70" s="55" t="s">
        <v>108</v>
      </c>
      <c r="M70" s="82" t="s">
        <v>108</v>
      </c>
      <c r="N70" s="82" t="s">
        <v>108</v>
      </c>
      <c r="O70" s="82" t="s">
        <v>108</v>
      </c>
      <c r="P70" s="82" t="s">
        <v>108</v>
      </c>
      <c r="Q70" s="82" t="s">
        <v>108</v>
      </c>
      <c r="R70" s="82" t="s">
        <v>108</v>
      </c>
      <c r="S70" s="82" t="s">
        <v>108</v>
      </c>
      <c r="T70" s="82" t="s">
        <v>108</v>
      </c>
      <c r="U70" s="43"/>
      <c r="V70" s="43"/>
      <c r="W70" s="43"/>
      <c r="X70" s="43"/>
      <c r="Y70" s="43"/>
      <c r="Z70" s="43"/>
    </row>
    <row r="71" spans="1:26" ht="45" customHeight="1">
      <c r="A71" s="14" t="s">
        <v>119</v>
      </c>
      <c r="B71" s="15" t="s">
        <v>120</v>
      </c>
      <c r="C71" s="78">
        <f>(C7+C9-C10-C27)/C6</f>
        <v>0.12102774161037053</v>
      </c>
      <c r="D71" s="78">
        <f>(D7+D9-D10-D27)/D6</f>
        <v>0.07243153112001804</v>
      </c>
      <c r="E71" s="78">
        <f>(E7+E9-E10-E27)/E6</f>
        <v>0.03262603501472738</v>
      </c>
      <c r="F71" s="17"/>
      <c r="G71" s="78">
        <f>(G7+G9-G10-G27)/G6</f>
        <v>0.11678016024677176</v>
      </c>
      <c r="H71" s="79"/>
      <c r="I71" s="78">
        <f aca="true" t="shared" si="27" ref="I71:T71">(I7+I9-I10-I27)/I6</f>
        <v>0.07779350730110929</v>
      </c>
      <c r="J71" s="78">
        <f t="shared" si="27"/>
        <v>0.08590128877428896</v>
      </c>
      <c r="K71" s="78">
        <f t="shared" si="27"/>
        <v>0.1410283928875898</v>
      </c>
      <c r="L71" s="78">
        <f t="shared" si="27"/>
        <v>0.17027531371970228</v>
      </c>
      <c r="M71" s="78">
        <f t="shared" si="27"/>
        <v>0.18494589847613896</v>
      </c>
      <c r="N71" s="78">
        <f t="shared" si="27"/>
        <v>0.17794752152460228</v>
      </c>
      <c r="O71" s="78">
        <f t="shared" si="27"/>
        <v>0.16966688229111598</v>
      </c>
      <c r="P71" s="78">
        <f t="shared" si="27"/>
        <v>0.16068895291578156</v>
      </c>
      <c r="Q71" s="78">
        <f t="shared" si="27"/>
        <v>0.15054986577868937</v>
      </c>
      <c r="R71" s="78">
        <f t="shared" si="27"/>
        <v>0.15988292116565722</v>
      </c>
      <c r="S71" s="78">
        <f t="shared" si="27"/>
        <v>0.16775399756828333</v>
      </c>
      <c r="T71" s="78">
        <f t="shared" si="27"/>
        <v>0.18071204230785104</v>
      </c>
      <c r="U71" s="45"/>
      <c r="V71" s="45"/>
      <c r="W71" s="45"/>
      <c r="X71" s="45"/>
      <c r="Y71" s="45"/>
      <c r="Z71" s="45"/>
    </row>
    <row r="72" spans="1:26" ht="45" customHeight="1">
      <c r="A72" s="14" t="s">
        <v>121</v>
      </c>
      <c r="B72" s="15" t="s">
        <v>122</v>
      </c>
      <c r="C72" s="78" t="s">
        <v>108</v>
      </c>
      <c r="D72" s="78" t="s">
        <v>108</v>
      </c>
      <c r="E72" s="78" t="s">
        <v>108</v>
      </c>
      <c r="F72" s="17"/>
      <c r="G72" s="78">
        <f>(C71+D71+E71)/3</f>
        <v>0.07536176924837198</v>
      </c>
      <c r="H72" s="79"/>
      <c r="I72" s="78">
        <f>(D71+E71+G71)/3</f>
        <v>0.07394590879383907</v>
      </c>
      <c r="J72" s="78">
        <f>(E71+G71+I71)/3</f>
        <v>0.07573323418753615</v>
      </c>
      <c r="K72" s="78">
        <f>(G71+I71+J71)/3</f>
        <v>0.09349165210739001</v>
      </c>
      <c r="L72" s="78">
        <f aca="true" t="shared" si="28" ref="L72:T72">(I71+J71+K71)/3</f>
        <v>0.10157439632099602</v>
      </c>
      <c r="M72" s="78">
        <f t="shared" si="28"/>
        <v>0.13240166512719367</v>
      </c>
      <c r="N72" s="78">
        <f t="shared" si="28"/>
        <v>0.16541653502781037</v>
      </c>
      <c r="O72" s="78">
        <f t="shared" si="28"/>
        <v>0.17772291124014783</v>
      </c>
      <c r="P72" s="78">
        <f t="shared" si="28"/>
        <v>0.17752010076395242</v>
      </c>
      <c r="Q72" s="78">
        <f t="shared" si="28"/>
        <v>0.16943445224383327</v>
      </c>
      <c r="R72" s="78">
        <f t="shared" si="28"/>
        <v>0.16030190032852898</v>
      </c>
      <c r="S72" s="78">
        <f t="shared" si="28"/>
        <v>0.15704057995337603</v>
      </c>
      <c r="T72" s="78">
        <f t="shared" si="28"/>
        <v>0.15939559483754331</v>
      </c>
      <c r="U72" s="45"/>
      <c r="V72" s="45"/>
      <c r="W72" s="45"/>
      <c r="X72" s="45"/>
      <c r="Y72" s="45"/>
      <c r="Z72" s="45"/>
    </row>
    <row r="73" spans="1:26" ht="45" customHeight="1">
      <c r="A73" s="14" t="s">
        <v>123</v>
      </c>
      <c r="B73" s="15" t="s">
        <v>124</v>
      </c>
      <c r="C73" s="78" t="s">
        <v>108</v>
      </c>
      <c r="D73" s="78" t="s">
        <v>108</v>
      </c>
      <c r="E73" s="78" t="s">
        <v>108</v>
      </c>
      <c r="F73" s="17"/>
      <c r="G73" s="78">
        <f>G26/G6</f>
        <v>0.11308392940198095</v>
      </c>
      <c r="H73" s="79"/>
      <c r="I73" s="78">
        <f aca="true" t="shared" si="29" ref="I73:T73">I26/I6</f>
        <v>0.11170451941824029</v>
      </c>
      <c r="J73" s="78">
        <f t="shared" si="29"/>
        <v>0.11403137407853929</v>
      </c>
      <c r="K73" s="78">
        <f t="shared" si="29"/>
        <v>0.08068295589971318</v>
      </c>
      <c r="L73" s="78">
        <f t="shared" si="29"/>
        <v>0.08332532588369752</v>
      </c>
      <c r="M73" s="78">
        <f t="shared" si="29"/>
        <v>0.09745765555927141</v>
      </c>
      <c r="N73" s="78">
        <f t="shared" si="29"/>
        <v>0.0955401934643016</v>
      </c>
      <c r="O73" s="78">
        <f t="shared" si="29"/>
        <v>0.09441412910909115</v>
      </c>
      <c r="P73" s="78">
        <f t="shared" si="29"/>
        <v>0.09003086175843177</v>
      </c>
      <c r="Q73" s="78">
        <f t="shared" si="29"/>
        <v>0.08020782789504721</v>
      </c>
      <c r="R73" s="78">
        <f t="shared" si="29"/>
        <v>0.06799075616030427</v>
      </c>
      <c r="S73" s="78">
        <f t="shared" si="29"/>
        <v>0.058687765244420785</v>
      </c>
      <c r="T73" s="78">
        <f t="shared" si="29"/>
        <v>0.006577552411401201</v>
      </c>
      <c r="U73" s="45"/>
      <c r="V73" s="45"/>
      <c r="W73" s="45"/>
      <c r="X73" s="45"/>
      <c r="Y73" s="45"/>
      <c r="Z73" s="45"/>
    </row>
    <row r="74" spans="1:26" s="44" customFormat="1" ht="46.5" customHeight="1">
      <c r="A74" s="14"/>
      <c r="B74" s="46" t="s">
        <v>125</v>
      </c>
      <c r="C74" s="78" t="s">
        <v>108</v>
      </c>
      <c r="D74" s="78" t="s">
        <v>108</v>
      </c>
      <c r="E74" s="78" t="s">
        <v>108</v>
      </c>
      <c r="F74" s="17"/>
      <c r="G74" s="80">
        <f>(G26-G29-G31-G33-G35)/G6</f>
        <v>0.11308392940198095</v>
      </c>
      <c r="H74" s="81"/>
      <c r="I74" s="80">
        <f aca="true" t="shared" si="30" ref="I74:T74">(I26-I29-I31-I33-I35)/I6</f>
        <v>0.11170451941824029</v>
      </c>
      <c r="J74" s="80">
        <f t="shared" si="30"/>
        <v>0.11403137407853929</v>
      </c>
      <c r="K74" s="80">
        <f t="shared" si="30"/>
        <v>0.08068295589971318</v>
      </c>
      <c r="L74" s="80">
        <f t="shared" si="30"/>
        <v>0.08332532588369752</v>
      </c>
      <c r="M74" s="80">
        <f t="shared" si="30"/>
        <v>0.09745765555927141</v>
      </c>
      <c r="N74" s="80">
        <f t="shared" si="30"/>
        <v>0.0955401934643016</v>
      </c>
      <c r="O74" s="80">
        <f t="shared" si="30"/>
        <v>0.09441412910909115</v>
      </c>
      <c r="P74" s="80">
        <f t="shared" si="30"/>
        <v>0.09003086175843177</v>
      </c>
      <c r="Q74" s="80">
        <f t="shared" si="30"/>
        <v>0.08020782789504721</v>
      </c>
      <c r="R74" s="80">
        <f t="shared" si="30"/>
        <v>0.06799075616030427</v>
      </c>
      <c r="S74" s="80">
        <f t="shared" si="30"/>
        <v>0.058687765244420785</v>
      </c>
      <c r="T74" s="80">
        <f t="shared" si="30"/>
        <v>0.006577552411401201</v>
      </c>
      <c r="U74" s="43"/>
      <c r="V74" s="43"/>
      <c r="W74" s="43"/>
      <c r="X74" s="43"/>
      <c r="Y74" s="43"/>
      <c r="Z74" s="43"/>
    </row>
    <row r="75" spans="1:26" ht="17.25" customHeight="1">
      <c r="A75" s="247" t="s">
        <v>126</v>
      </c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45"/>
      <c r="V75" s="45"/>
      <c r="W75" s="45"/>
      <c r="X75" s="45"/>
      <c r="Y75" s="45"/>
      <c r="Z75" s="45"/>
    </row>
    <row r="76" spans="1:26" s="84" customFormat="1" ht="32.25" customHeight="1">
      <c r="A76" s="247" t="s">
        <v>2</v>
      </c>
      <c r="B76" s="247" t="s">
        <v>3</v>
      </c>
      <c r="C76" s="247" t="s">
        <v>4</v>
      </c>
      <c r="D76" s="247"/>
      <c r="E76" s="247"/>
      <c r="F76" s="42"/>
      <c r="G76" s="247" t="s">
        <v>5</v>
      </c>
      <c r="H76" s="42"/>
      <c r="I76" s="248" t="s">
        <v>6</v>
      </c>
      <c r="J76" s="249" t="s">
        <v>7</v>
      </c>
      <c r="K76" s="249"/>
      <c r="L76" s="249"/>
      <c r="M76" s="249"/>
      <c r="N76" s="249"/>
      <c r="O76" s="249"/>
      <c r="P76" s="249"/>
      <c r="Q76" s="249"/>
      <c r="R76" s="249"/>
      <c r="S76" s="249"/>
      <c r="T76" s="41"/>
      <c r="U76" s="83"/>
      <c r="V76" s="83"/>
      <c r="W76" s="83"/>
      <c r="X76" s="83"/>
      <c r="Y76" s="83"/>
      <c r="Z76" s="83"/>
    </row>
    <row r="77" spans="1:26" s="84" customFormat="1" ht="19.5" customHeight="1">
      <c r="A77" s="247"/>
      <c r="B77" s="247"/>
      <c r="C77" s="39" t="s">
        <v>8</v>
      </c>
      <c r="D77" s="39" t="s">
        <v>9</v>
      </c>
      <c r="E77" s="39" t="s">
        <v>10</v>
      </c>
      <c r="F77" s="67"/>
      <c r="G77" s="247"/>
      <c r="H77" s="70"/>
      <c r="I77" s="248"/>
      <c r="J77" s="41" t="s">
        <v>13</v>
      </c>
      <c r="K77" s="41" t="s">
        <v>14</v>
      </c>
      <c r="L77" s="41" t="s">
        <v>15</v>
      </c>
      <c r="M77" s="41" t="s">
        <v>16</v>
      </c>
      <c r="N77" s="41" t="s">
        <v>17</v>
      </c>
      <c r="O77" s="41" t="s">
        <v>18</v>
      </c>
      <c r="P77" s="41" t="s">
        <v>19</v>
      </c>
      <c r="Q77" s="41" t="s">
        <v>20</v>
      </c>
      <c r="R77" s="41" t="s">
        <v>21</v>
      </c>
      <c r="S77" s="41" t="s">
        <v>22</v>
      </c>
      <c r="T77" s="41" t="s">
        <v>23</v>
      </c>
      <c r="U77" s="83"/>
      <c r="V77" s="83"/>
      <c r="W77" s="83"/>
      <c r="X77" s="83"/>
      <c r="Y77" s="83"/>
      <c r="Z77" s="83"/>
    </row>
    <row r="78" spans="1:26" s="1" customFormat="1" ht="19.5" customHeight="1">
      <c r="A78" s="14">
        <v>1</v>
      </c>
      <c r="B78" s="14">
        <v>2</v>
      </c>
      <c r="C78" s="14">
        <v>3</v>
      </c>
      <c r="D78" s="14">
        <v>4</v>
      </c>
      <c r="E78" s="14">
        <v>5</v>
      </c>
      <c r="F78" s="23">
        <v>6</v>
      </c>
      <c r="G78" s="14">
        <v>6</v>
      </c>
      <c r="H78" s="71">
        <v>8</v>
      </c>
      <c r="I78" s="14">
        <v>7</v>
      </c>
      <c r="J78" s="14">
        <v>8</v>
      </c>
      <c r="K78" s="14">
        <v>9</v>
      </c>
      <c r="L78" s="14">
        <v>10</v>
      </c>
      <c r="M78" s="14">
        <v>11</v>
      </c>
      <c r="N78" s="14">
        <v>12</v>
      </c>
      <c r="O78" s="14">
        <v>13</v>
      </c>
      <c r="P78" s="14">
        <v>14</v>
      </c>
      <c r="Q78" s="14">
        <v>15</v>
      </c>
      <c r="R78" s="14">
        <v>16</v>
      </c>
      <c r="S78" s="14">
        <v>17</v>
      </c>
      <c r="T78" s="14">
        <v>18</v>
      </c>
      <c r="U78" s="72"/>
      <c r="V78" s="72"/>
      <c r="W78" s="72"/>
      <c r="X78" s="72"/>
      <c r="Y78" s="72"/>
      <c r="Z78" s="72"/>
    </row>
    <row r="79" spans="1:26" s="44" customFormat="1" ht="35.25" customHeight="1">
      <c r="A79" s="39" t="s">
        <v>127</v>
      </c>
      <c r="B79" s="40" t="s">
        <v>25</v>
      </c>
      <c r="C79" s="41">
        <f>C6</f>
        <v>40781807</v>
      </c>
      <c r="D79" s="41">
        <f>D6</f>
        <v>41646128.88</v>
      </c>
      <c r="E79" s="41">
        <f>E6</f>
        <v>47129998.46</v>
      </c>
      <c r="F79" s="11">
        <f aca="true" t="shared" si="31" ref="F79:F84">H79/G79*100</f>
        <v>49.897635243504006</v>
      </c>
      <c r="G79" s="41">
        <f aca="true" t="shared" si="32" ref="G79:T79">G6</f>
        <v>50891153.15</v>
      </c>
      <c r="H79" s="42">
        <f t="shared" si="32"/>
        <v>25393481.97</v>
      </c>
      <c r="I79" s="41">
        <f t="shared" si="32"/>
        <v>54958224</v>
      </c>
      <c r="J79" s="41">
        <f t="shared" si="32"/>
        <v>55539671</v>
      </c>
      <c r="K79" s="41">
        <f t="shared" si="32"/>
        <v>58657345.25</v>
      </c>
      <c r="L79" s="41">
        <f t="shared" si="32"/>
        <v>60928666.59875</v>
      </c>
      <c r="M79" s="41">
        <f t="shared" si="32"/>
        <v>60516672.252731256</v>
      </c>
      <c r="N79" s="41">
        <f t="shared" si="32"/>
        <v>60424422.33652222</v>
      </c>
      <c r="O79" s="41">
        <f t="shared" si="32"/>
        <v>61330788.671570055</v>
      </c>
      <c r="P79" s="41">
        <f t="shared" si="32"/>
        <v>60960174.0203936</v>
      </c>
      <c r="Q79" s="41">
        <f t="shared" si="32"/>
        <v>60674576.63069951</v>
      </c>
      <c r="R79" s="41">
        <f t="shared" si="32"/>
        <v>61584695.28016</v>
      </c>
      <c r="S79" s="41">
        <f t="shared" si="32"/>
        <v>62508465.7093624</v>
      </c>
      <c r="T79" s="41">
        <f t="shared" si="32"/>
        <v>63446092.69500283</v>
      </c>
      <c r="U79" s="43"/>
      <c r="V79" s="43"/>
      <c r="W79" s="43"/>
      <c r="X79" s="43"/>
      <c r="Y79" s="43"/>
      <c r="Z79" s="43"/>
    </row>
    <row r="80" spans="1:26" s="44" customFormat="1" ht="35.25" customHeight="1">
      <c r="A80" s="39" t="s">
        <v>128</v>
      </c>
      <c r="B80" s="40" t="s">
        <v>129</v>
      </c>
      <c r="C80" s="41">
        <f>C10+C27+C39</f>
        <v>40722984</v>
      </c>
      <c r="D80" s="41">
        <f>D10+D27+D39</f>
        <v>49843941</v>
      </c>
      <c r="E80" s="41">
        <f>E10+E27+E39</f>
        <v>56669027.19</v>
      </c>
      <c r="F80" s="11">
        <f t="shared" si="31"/>
        <v>93.93530262502131</v>
      </c>
      <c r="G80" s="41">
        <f aca="true" t="shared" si="33" ref="G80:T80">G10+G27+G39</f>
        <v>54744346.91</v>
      </c>
      <c r="H80" s="42">
        <f t="shared" si="33"/>
        <v>51424267.94</v>
      </c>
      <c r="I80" s="41">
        <f t="shared" si="33"/>
        <v>54867331</v>
      </c>
      <c r="J80" s="41">
        <f t="shared" si="33"/>
        <v>55991950.683</v>
      </c>
      <c r="K80" s="41">
        <f t="shared" si="33"/>
        <v>60517316.11834</v>
      </c>
      <c r="L80" s="41">
        <f t="shared" si="33"/>
        <v>56511407.7791247</v>
      </c>
      <c r="M80" s="41">
        <f t="shared" si="33"/>
        <v>51024361.930163845</v>
      </c>
      <c r="N80" s="41">
        <f t="shared" si="33"/>
        <v>58672046.142182276</v>
      </c>
      <c r="O80" s="41">
        <f t="shared" si="33"/>
        <v>56524984.96920947</v>
      </c>
      <c r="P80" s="41">
        <f t="shared" si="33"/>
        <v>58664547.487492725</v>
      </c>
      <c r="Q80" s="41">
        <f t="shared" si="33"/>
        <v>55540027.262768894</v>
      </c>
      <c r="R80" s="41">
        <f t="shared" si="33"/>
        <v>56638355.29967116</v>
      </c>
      <c r="S80" s="41">
        <f t="shared" si="33"/>
        <v>56922422.7047569</v>
      </c>
      <c r="T80" s="41">
        <f t="shared" si="33"/>
        <v>51980619.70763564</v>
      </c>
      <c r="U80" s="43"/>
      <c r="V80" s="43"/>
      <c r="W80" s="43"/>
      <c r="X80" s="43"/>
      <c r="Y80" s="43"/>
      <c r="Z80" s="43"/>
    </row>
    <row r="81" spans="1:26" s="44" customFormat="1" ht="33.75" customHeight="1">
      <c r="A81" s="39"/>
      <c r="B81" s="40" t="s">
        <v>130</v>
      </c>
      <c r="C81" s="41">
        <f>C13+C32+C40</f>
        <v>0</v>
      </c>
      <c r="D81" s="41">
        <f>D13+D32+D40</f>
        <v>0</v>
      </c>
      <c r="E81" s="41">
        <f>E13+E32+E40</f>
        <v>264812</v>
      </c>
      <c r="F81" s="11">
        <f t="shared" si="31"/>
        <v>9.60278349840421</v>
      </c>
      <c r="G81" s="41">
        <f aca="true" t="shared" si="34" ref="G81:T81">G13+G32+G40</f>
        <v>7101495</v>
      </c>
      <c r="H81" s="42">
        <f t="shared" si="34"/>
        <v>681941.1900000001</v>
      </c>
      <c r="I81" s="41">
        <f t="shared" si="34"/>
        <v>7638919</v>
      </c>
      <c r="J81" s="41">
        <f t="shared" si="34"/>
        <v>9256856.325</v>
      </c>
      <c r="K81" s="41">
        <f t="shared" si="34"/>
        <v>13635890.1875</v>
      </c>
      <c r="L81" s="41">
        <f t="shared" si="34"/>
        <v>9460033.3421875</v>
      </c>
      <c r="M81" s="41">
        <f t="shared" si="34"/>
        <v>2985098.825742188</v>
      </c>
      <c r="N81" s="41">
        <f t="shared" si="34"/>
        <v>2416431.0963857425</v>
      </c>
      <c r="O81" s="41">
        <f t="shared" si="34"/>
        <v>2046812.2237953856</v>
      </c>
      <c r="P81" s="41">
        <f t="shared" si="34"/>
        <v>2080246.9043902704</v>
      </c>
      <c r="Q81" s="41">
        <f t="shared" si="34"/>
        <v>2114759.477000027</v>
      </c>
      <c r="R81" s="41">
        <f t="shared" si="34"/>
        <v>2150379.938925028</v>
      </c>
      <c r="S81" s="41">
        <f t="shared" si="34"/>
        <v>2187131.9623981533</v>
      </c>
      <c r="T81" s="41">
        <f t="shared" si="34"/>
        <v>1954877.9114581072</v>
      </c>
      <c r="U81" s="43"/>
      <c r="V81" s="43"/>
      <c r="W81" s="43"/>
      <c r="X81" s="43"/>
      <c r="Y81" s="43"/>
      <c r="Z81" s="43"/>
    </row>
    <row r="82" spans="1:26" s="44" customFormat="1" ht="46.5" customHeight="1">
      <c r="A82" s="39" t="s">
        <v>131</v>
      </c>
      <c r="B82" s="40" t="s">
        <v>132</v>
      </c>
      <c r="C82" s="41">
        <f>C6-C80</f>
        <v>58823</v>
      </c>
      <c r="D82" s="41">
        <f>D6-D80</f>
        <v>-8197812.119999997</v>
      </c>
      <c r="E82" s="41">
        <f>E6-E80</f>
        <v>-9539028.729999997</v>
      </c>
      <c r="F82" s="11">
        <f t="shared" si="31"/>
        <v>675.5638981933785</v>
      </c>
      <c r="G82" s="41">
        <f aca="true" t="shared" si="35" ref="G82:T82">G6-G80</f>
        <v>-3853193.759999998</v>
      </c>
      <c r="H82" s="41">
        <f t="shared" si="35"/>
        <v>-26030785.97</v>
      </c>
      <c r="I82" s="41">
        <f t="shared" si="35"/>
        <v>90893</v>
      </c>
      <c r="J82" s="41">
        <f t="shared" si="35"/>
        <v>-452279.68299999833</v>
      </c>
      <c r="K82" s="41">
        <f t="shared" si="35"/>
        <v>-1859970.8683400005</v>
      </c>
      <c r="L82" s="41">
        <f t="shared" si="35"/>
        <v>4417258.819625303</v>
      </c>
      <c r="M82" s="41">
        <f t="shared" si="35"/>
        <v>9492310.32256741</v>
      </c>
      <c r="N82" s="41">
        <f t="shared" si="35"/>
        <v>1752376.194339946</v>
      </c>
      <c r="O82" s="41">
        <f t="shared" si="35"/>
        <v>4805803.702360585</v>
      </c>
      <c r="P82" s="41">
        <f t="shared" si="35"/>
        <v>2295626.5329008773</v>
      </c>
      <c r="Q82" s="41">
        <f t="shared" si="35"/>
        <v>5134549.367930613</v>
      </c>
      <c r="R82" s="41">
        <f t="shared" si="35"/>
        <v>4946339.980488844</v>
      </c>
      <c r="S82" s="41">
        <f t="shared" si="35"/>
        <v>5586043.004605502</v>
      </c>
      <c r="T82" s="41">
        <f t="shared" si="35"/>
        <v>11465472.98736719</v>
      </c>
      <c r="U82" s="43"/>
      <c r="V82" s="43"/>
      <c r="W82" s="43"/>
      <c r="X82" s="43"/>
      <c r="Y82" s="43"/>
      <c r="Z82" s="43"/>
    </row>
    <row r="83" spans="1:26" s="44" customFormat="1" ht="33.75" customHeight="1">
      <c r="A83" s="39" t="s">
        <v>133</v>
      </c>
      <c r="B83" s="40" t="s">
        <v>134</v>
      </c>
      <c r="C83" s="41">
        <f>C20+C45</f>
        <v>1295280</v>
      </c>
      <c r="D83" s="41">
        <f>D20+D45</f>
        <v>10830344</v>
      </c>
      <c r="E83" s="41">
        <f>E20+E45</f>
        <v>11392932.880000003</v>
      </c>
      <c r="F83" s="11">
        <f t="shared" si="31"/>
        <v>255.93959129983753</v>
      </c>
      <c r="G83" s="41">
        <f aca="true" t="shared" si="36" ref="G83:T83">G20+G45</f>
        <v>11622190.15000001</v>
      </c>
      <c r="H83" s="42">
        <f t="shared" si="36"/>
        <v>29745785.970000003</v>
      </c>
      <c r="I83" s="41">
        <f t="shared" si="36"/>
        <v>3609107</v>
      </c>
      <c r="J83" s="41">
        <f t="shared" si="36"/>
        <v>4152279.6829999983</v>
      </c>
      <c r="K83" s="41">
        <f t="shared" si="36"/>
        <v>4059970.8683400005</v>
      </c>
      <c r="L83" s="41">
        <f t="shared" si="36"/>
        <v>0</v>
      </c>
      <c r="M83" s="41">
        <f t="shared" si="36"/>
        <v>1764243.8196253031</v>
      </c>
      <c r="N83" s="41">
        <f t="shared" si="36"/>
        <v>7453539.142192714</v>
      </c>
      <c r="O83" s="41">
        <f t="shared" si="36"/>
        <v>5402900.33653266</v>
      </c>
      <c r="P83" s="41">
        <f t="shared" si="36"/>
        <v>6293817.038893245</v>
      </c>
      <c r="Q83" s="41">
        <f t="shared" si="36"/>
        <v>4724556.571794122</v>
      </c>
      <c r="R83" s="41">
        <f t="shared" si="36"/>
        <v>6494218.939724736</v>
      </c>
      <c r="S83" s="41">
        <f t="shared" si="36"/>
        <v>8450671.92021358</v>
      </c>
      <c r="T83" s="41">
        <f t="shared" si="36"/>
        <v>11341305.763479095</v>
      </c>
      <c r="U83" s="43"/>
      <c r="V83" s="43"/>
      <c r="W83" s="43"/>
      <c r="X83" s="43"/>
      <c r="Y83" s="43"/>
      <c r="Z83" s="43"/>
    </row>
    <row r="84" spans="1:26" s="44" customFormat="1" ht="33.75" customHeight="1">
      <c r="A84" s="39" t="s">
        <v>135</v>
      </c>
      <c r="B84" s="40" t="s">
        <v>136</v>
      </c>
      <c r="C84" s="41">
        <f>C34+C36</f>
        <v>1526687</v>
      </c>
      <c r="D84" s="41">
        <f>D34+D36</f>
        <v>1750567</v>
      </c>
      <c r="E84" s="41">
        <f>E34+E36</f>
        <v>1508114</v>
      </c>
      <c r="F84" s="11">
        <f t="shared" si="31"/>
        <v>80.60301032174162</v>
      </c>
      <c r="G84" s="41">
        <f aca="true" t="shared" si="37" ref="G84:T84">G34+G36</f>
        <v>4609009</v>
      </c>
      <c r="H84" s="42">
        <f t="shared" si="37"/>
        <v>3715000</v>
      </c>
      <c r="I84" s="41">
        <f t="shared" si="37"/>
        <v>3700000</v>
      </c>
      <c r="J84" s="41">
        <f t="shared" si="37"/>
        <v>3700000</v>
      </c>
      <c r="K84" s="41">
        <f t="shared" si="37"/>
        <v>2200000</v>
      </c>
      <c r="L84" s="41">
        <f t="shared" si="37"/>
        <v>2653015</v>
      </c>
      <c r="M84" s="41">
        <f t="shared" si="37"/>
        <v>3803015</v>
      </c>
      <c r="N84" s="41">
        <f t="shared" si="37"/>
        <v>3803015</v>
      </c>
      <c r="O84" s="41">
        <f t="shared" si="37"/>
        <v>3914887</v>
      </c>
      <c r="P84" s="41">
        <f t="shared" si="37"/>
        <v>3864887</v>
      </c>
      <c r="Q84" s="41">
        <f t="shared" si="37"/>
        <v>3364887</v>
      </c>
      <c r="R84" s="41">
        <f t="shared" si="37"/>
        <v>2989887</v>
      </c>
      <c r="S84" s="41">
        <f t="shared" si="37"/>
        <v>2695409.161339987</v>
      </c>
      <c r="T84" s="41">
        <f t="shared" si="37"/>
        <v>0</v>
      </c>
      <c r="U84" s="43"/>
      <c r="V84" s="43"/>
      <c r="W84" s="43"/>
      <c r="X84" s="43"/>
      <c r="Y84" s="43"/>
      <c r="Z84" s="43"/>
    </row>
    <row r="85" spans="1:26" s="44" customFormat="1" ht="35.25" customHeight="1">
      <c r="A85" s="244" t="s">
        <v>137</v>
      </c>
      <c r="B85" s="36" t="s">
        <v>138</v>
      </c>
      <c r="C85" s="85">
        <f>C79-C80+C83-C84</f>
        <v>-172584</v>
      </c>
      <c r="D85" s="85">
        <f>D79-D80+D83-D84</f>
        <v>881964.8800000027</v>
      </c>
      <c r="E85" s="85">
        <f>E6-E80+E83-E84</f>
        <v>345790.15000000596</v>
      </c>
      <c r="F85" s="31">
        <v>0</v>
      </c>
      <c r="G85" s="85">
        <f aca="true" t="shared" si="38" ref="G85:T85">G6-G80+G83-G84</f>
        <v>3159987.390000012</v>
      </c>
      <c r="H85" s="86">
        <f t="shared" si="38"/>
        <v>3.725290298461914E-09</v>
      </c>
      <c r="I85" s="85">
        <f t="shared" si="38"/>
        <v>0</v>
      </c>
      <c r="J85" s="85">
        <f t="shared" si="38"/>
        <v>0</v>
      </c>
      <c r="K85" s="85">
        <f t="shared" si="38"/>
        <v>0</v>
      </c>
      <c r="L85" s="85">
        <f t="shared" si="38"/>
        <v>1764243.8196253031</v>
      </c>
      <c r="M85" s="85">
        <f t="shared" si="38"/>
        <v>7453539.142192714</v>
      </c>
      <c r="N85" s="85">
        <f t="shared" si="38"/>
        <v>5402900.33653266</v>
      </c>
      <c r="O85" s="85">
        <f t="shared" si="38"/>
        <v>6293817.038893245</v>
      </c>
      <c r="P85" s="85">
        <f t="shared" si="38"/>
        <v>4724556.571794122</v>
      </c>
      <c r="Q85" s="85">
        <f t="shared" si="38"/>
        <v>6494218.939724736</v>
      </c>
      <c r="R85" s="85">
        <f t="shared" si="38"/>
        <v>8450671.92021358</v>
      </c>
      <c r="S85" s="85">
        <f t="shared" si="38"/>
        <v>11341305.763479095</v>
      </c>
      <c r="T85" s="85">
        <f t="shared" si="38"/>
        <v>22806778.750846285</v>
      </c>
      <c r="U85" s="43"/>
      <c r="V85" s="43"/>
      <c r="W85" s="43"/>
      <c r="X85" s="43"/>
      <c r="Y85" s="43"/>
      <c r="Z85" s="43"/>
    </row>
    <row r="86" spans="1:26" s="44" customFormat="1" ht="35.25" customHeight="1">
      <c r="A86" s="244"/>
      <c r="B86" s="36" t="s">
        <v>139</v>
      </c>
      <c r="C86" s="85">
        <f>C7-C10-C27+C21+C22</f>
        <v>3677433</v>
      </c>
      <c r="D86" s="85">
        <f>D7-D10-D27+D21+D22</f>
        <v>2310762.8800000027</v>
      </c>
      <c r="E86" s="85">
        <f>E7-E10-E27+E21+E22</f>
        <v>629129.8600000101</v>
      </c>
      <c r="F86" s="31">
        <f>H86/G86*100</f>
        <v>-472.92228573907676</v>
      </c>
      <c r="G86" s="85">
        <f>G7-G10-G27+G21+G22</f>
        <v>5015867.170000013</v>
      </c>
      <c r="H86" s="86">
        <f>H7-H10-H27+H21+H22</f>
        <v>-23721153.67</v>
      </c>
      <c r="I86" s="85">
        <f>I7-I10-I27+I21+I22</f>
        <v>3435380.390000012</v>
      </c>
      <c r="J86" s="85">
        <f>J7-J10-J27+J22+J22</f>
        <v>3490929.3170000017</v>
      </c>
      <c r="K86" s="85">
        <f aca="true" t="shared" si="39" ref="K86:T86">K7-K10-K27+K21+K22</f>
        <v>6902751.1316599995</v>
      </c>
      <c r="L86" s="85">
        <f t="shared" si="39"/>
        <v>8909175.819625303</v>
      </c>
      <c r="M86" s="85">
        <f t="shared" si="39"/>
        <v>11406554.142192714</v>
      </c>
      <c r="N86" s="85">
        <f t="shared" si="39"/>
        <v>17632665.33653266</v>
      </c>
      <c r="O86" s="85">
        <f t="shared" si="39"/>
        <v>15226855.288893245</v>
      </c>
      <c r="P86" s="85">
        <f t="shared" si="39"/>
        <v>15789443.571794122</v>
      </c>
      <c r="Q86" s="85">
        <f t="shared" si="39"/>
        <v>13554605.939724736</v>
      </c>
      <c r="R86" s="85">
        <f t="shared" si="39"/>
        <v>16031492.42021358</v>
      </c>
      <c r="S86" s="85">
        <f t="shared" si="39"/>
        <v>18623013.41231908</v>
      </c>
      <c r="T86" s="85">
        <f t="shared" si="39"/>
        <v>22488369.685658786</v>
      </c>
      <c r="U86" s="43"/>
      <c r="V86" s="43"/>
      <c r="W86" s="43"/>
      <c r="X86" s="43"/>
      <c r="Y86" s="43"/>
      <c r="Z86" s="43"/>
    </row>
    <row r="87" spans="7:26" ht="21.75" customHeight="1">
      <c r="G87" s="72"/>
      <c r="H87" s="72"/>
      <c r="I87" s="72"/>
      <c r="J87" s="72"/>
      <c r="K87" s="72"/>
      <c r="L87" s="72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7:26" ht="21.75" customHeight="1">
      <c r="G88" s="72"/>
      <c r="H88" s="72"/>
      <c r="I88" s="72"/>
      <c r="J88" s="72"/>
      <c r="K88" s="72"/>
      <c r="L88" s="72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7:26" ht="21.75" customHeight="1">
      <c r="G89" s="72"/>
      <c r="H89" s="72"/>
      <c r="I89" s="72"/>
      <c r="J89" s="72"/>
      <c r="K89" s="72"/>
      <c r="L89" s="72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7:26" ht="21.75" customHeight="1">
      <c r="G90" s="72"/>
      <c r="H90" s="72"/>
      <c r="I90" s="72"/>
      <c r="J90" s="72"/>
      <c r="K90" s="72"/>
      <c r="L90" s="72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7:26" ht="21.75" customHeight="1">
      <c r="G91" s="72"/>
      <c r="H91" s="72"/>
      <c r="I91" s="72"/>
      <c r="J91" s="72"/>
      <c r="K91" s="72"/>
      <c r="L91" s="72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7:26" ht="21.75" customHeight="1">
      <c r="G92" s="72"/>
      <c r="H92" s="72"/>
      <c r="I92" s="72"/>
      <c r="J92" s="72"/>
      <c r="K92" s="72"/>
      <c r="L92" s="72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7:26" ht="21.75" customHeight="1">
      <c r="G93" s="72"/>
      <c r="H93" s="72"/>
      <c r="I93" s="72"/>
      <c r="J93" s="72"/>
      <c r="K93" s="72"/>
      <c r="L93" s="72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7:26" ht="21.75" customHeight="1">
      <c r="G94" s="72"/>
      <c r="H94" s="72"/>
      <c r="I94" s="72"/>
      <c r="J94" s="72"/>
      <c r="K94" s="72"/>
      <c r="L94" s="72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7:26" ht="21.75" customHeight="1">
      <c r="G95" s="72"/>
      <c r="H95" s="72"/>
      <c r="I95" s="72"/>
      <c r="J95" s="72"/>
      <c r="K95" s="72"/>
      <c r="L95" s="72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7:26" ht="21.75" customHeight="1">
      <c r="G96" s="72"/>
      <c r="H96" s="72"/>
      <c r="I96" s="72"/>
      <c r="J96" s="72"/>
      <c r="K96" s="72"/>
      <c r="L96" s="72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7:26" ht="21.75" customHeight="1">
      <c r="G97" s="72"/>
      <c r="H97" s="72"/>
      <c r="I97" s="72"/>
      <c r="J97" s="72"/>
      <c r="K97" s="72"/>
      <c r="L97" s="72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7:26" ht="21.75" customHeight="1">
      <c r="G98" s="72"/>
      <c r="H98" s="72"/>
      <c r="I98" s="72"/>
      <c r="J98" s="72"/>
      <c r="K98" s="72"/>
      <c r="L98" s="72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7:26" ht="21.75" customHeight="1">
      <c r="G99" s="72"/>
      <c r="H99" s="72"/>
      <c r="I99" s="72"/>
      <c r="J99" s="72"/>
      <c r="K99" s="72"/>
      <c r="L99" s="72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7:26" ht="21.75" customHeight="1">
      <c r="G100" s="72"/>
      <c r="H100" s="72"/>
      <c r="I100" s="72"/>
      <c r="J100" s="72"/>
      <c r="K100" s="72"/>
      <c r="L100" s="72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7:26" ht="21.75" customHeight="1">
      <c r="G101" s="72"/>
      <c r="H101" s="72"/>
      <c r="I101" s="72"/>
      <c r="J101" s="72"/>
      <c r="K101" s="72"/>
      <c r="L101" s="72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7:26" ht="21.75" customHeight="1">
      <c r="G102" s="72"/>
      <c r="H102" s="72"/>
      <c r="I102" s="72"/>
      <c r="J102" s="72"/>
      <c r="K102" s="72"/>
      <c r="L102" s="72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7:26" ht="21.75" customHeight="1">
      <c r="G103" s="72"/>
      <c r="H103" s="72"/>
      <c r="I103" s="72"/>
      <c r="J103" s="72"/>
      <c r="K103" s="72"/>
      <c r="L103" s="72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7:26" ht="21.75" customHeight="1">
      <c r="G104" s="72"/>
      <c r="H104" s="72"/>
      <c r="I104" s="72"/>
      <c r="J104" s="72"/>
      <c r="K104" s="72"/>
      <c r="L104" s="72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7:26" ht="21.75" customHeight="1">
      <c r="G105" s="72"/>
      <c r="H105" s="72"/>
      <c r="I105" s="72"/>
      <c r="J105" s="72"/>
      <c r="K105" s="72"/>
      <c r="L105" s="72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7:26" ht="21.75" customHeight="1">
      <c r="G106" s="72"/>
      <c r="H106" s="72"/>
      <c r="I106" s="72"/>
      <c r="J106" s="72"/>
      <c r="K106" s="72"/>
      <c r="L106" s="72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7:26" ht="21.75" customHeight="1">
      <c r="G107" s="72"/>
      <c r="H107" s="72"/>
      <c r="I107" s="72"/>
      <c r="J107" s="72"/>
      <c r="K107" s="72"/>
      <c r="L107" s="72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7:26" ht="21.75" customHeight="1">
      <c r="G108" s="72"/>
      <c r="H108" s="72"/>
      <c r="I108" s="72"/>
      <c r="J108" s="72"/>
      <c r="K108" s="72"/>
      <c r="L108" s="72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7:26" ht="21.75" customHeight="1">
      <c r="G109" s="72"/>
      <c r="H109" s="72"/>
      <c r="I109" s="72"/>
      <c r="J109" s="72"/>
      <c r="K109" s="72"/>
      <c r="L109" s="72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7:26" ht="21.75" customHeight="1">
      <c r="G110" s="72"/>
      <c r="H110" s="72"/>
      <c r="I110" s="72"/>
      <c r="J110" s="72"/>
      <c r="K110" s="72"/>
      <c r="L110" s="72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7:26" ht="21.75" customHeight="1">
      <c r="G111" s="72"/>
      <c r="H111" s="72"/>
      <c r="I111" s="72"/>
      <c r="J111" s="72"/>
      <c r="K111" s="72"/>
      <c r="L111" s="72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7:26" ht="21.75" customHeight="1">
      <c r="G112" s="72"/>
      <c r="H112" s="72"/>
      <c r="I112" s="72"/>
      <c r="J112" s="72"/>
      <c r="K112" s="72"/>
      <c r="L112" s="72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7:26" ht="21.75" customHeight="1">
      <c r="G113" s="72"/>
      <c r="H113" s="72"/>
      <c r="I113" s="72"/>
      <c r="J113" s="72"/>
      <c r="K113" s="72"/>
      <c r="L113" s="72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7:26" ht="21.75" customHeight="1">
      <c r="G114" s="72"/>
      <c r="H114" s="72"/>
      <c r="I114" s="72"/>
      <c r="J114" s="72"/>
      <c r="K114" s="72"/>
      <c r="L114" s="72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7:26" ht="21.75" customHeight="1">
      <c r="G115" s="72"/>
      <c r="H115" s="72"/>
      <c r="I115" s="72"/>
      <c r="J115" s="72"/>
      <c r="K115" s="72"/>
      <c r="L115" s="72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7:26" ht="21.75" customHeight="1">
      <c r="G116" s="72"/>
      <c r="H116" s="72"/>
      <c r="I116" s="72"/>
      <c r="J116" s="72"/>
      <c r="K116" s="72"/>
      <c r="L116" s="72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7:26" ht="21.75" customHeight="1">
      <c r="G117" s="72"/>
      <c r="H117" s="72"/>
      <c r="I117" s="72"/>
      <c r="J117" s="72"/>
      <c r="K117" s="72"/>
      <c r="L117" s="72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7:26" ht="21.75" customHeight="1">
      <c r="G118" s="72"/>
      <c r="H118" s="72"/>
      <c r="I118" s="72"/>
      <c r="J118" s="72"/>
      <c r="K118" s="72"/>
      <c r="L118" s="72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7:26" ht="21.75" customHeight="1">
      <c r="G119" s="72"/>
      <c r="H119" s="72"/>
      <c r="I119" s="72"/>
      <c r="J119" s="72"/>
      <c r="K119" s="72"/>
      <c r="L119" s="72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7:26" ht="21.75" customHeight="1">
      <c r="G120" s="72"/>
      <c r="H120" s="72"/>
      <c r="I120" s="72"/>
      <c r="J120" s="72"/>
      <c r="K120" s="72"/>
      <c r="L120" s="72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7:26" ht="21.75" customHeight="1">
      <c r="G121" s="72"/>
      <c r="H121" s="72"/>
      <c r="I121" s="72"/>
      <c r="J121" s="72"/>
      <c r="K121" s="72"/>
      <c r="L121" s="72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7:26" ht="21.75" customHeight="1">
      <c r="G122" s="72"/>
      <c r="H122" s="72"/>
      <c r="I122" s="72"/>
      <c r="J122" s="72"/>
      <c r="K122" s="72"/>
      <c r="L122" s="72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7:26" ht="21.75" customHeight="1">
      <c r="G123" s="72"/>
      <c r="H123" s="72"/>
      <c r="I123" s="72"/>
      <c r="J123" s="72"/>
      <c r="K123" s="72"/>
      <c r="L123" s="72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7:26" ht="21.75" customHeight="1">
      <c r="G124" s="72"/>
      <c r="H124" s="72"/>
      <c r="I124" s="72"/>
      <c r="J124" s="72"/>
      <c r="K124" s="72"/>
      <c r="L124" s="72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7:26" ht="21.75" customHeight="1">
      <c r="G125" s="72"/>
      <c r="H125" s="72"/>
      <c r="I125" s="72"/>
      <c r="J125" s="72"/>
      <c r="K125" s="72"/>
      <c r="L125" s="72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7:26" ht="21.75" customHeight="1">
      <c r="G126" s="72"/>
      <c r="H126" s="72"/>
      <c r="I126" s="72"/>
      <c r="J126" s="72"/>
      <c r="K126" s="72"/>
      <c r="L126" s="72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7:26" ht="21.75" customHeight="1">
      <c r="G127" s="72"/>
      <c r="H127" s="72"/>
      <c r="I127" s="72"/>
      <c r="J127" s="72"/>
      <c r="K127" s="72"/>
      <c r="L127" s="72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7:26" ht="21.75" customHeight="1">
      <c r="G128" s="72"/>
      <c r="H128" s="72"/>
      <c r="I128" s="72"/>
      <c r="J128" s="72"/>
      <c r="K128" s="72"/>
      <c r="L128" s="72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7:26" ht="21.75" customHeight="1">
      <c r="G129" s="72"/>
      <c r="H129" s="72"/>
      <c r="I129" s="72"/>
      <c r="J129" s="72"/>
      <c r="K129" s="72"/>
      <c r="L129" s="72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7:26" ht="21.75" customHeight="1">
      <c r="G130" s="72"/>
      <c r="H130" s="72"/>
      <c r="I130" s="72"/>
      <c r="J130" s="72"/>
      <c r="K130" s="72"/>
      <c r="L130" s="72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</sheetData>
  <mergeCells count="27">
    <mergeCell ref="A1:T1"/>
    <mergeCell ref="A2:T2"/>
    <mergeCell ref="A3:A4"/>
    <mergeCell ref="B3:B4"/>
    <mergeCell ref="C3:E3"/>
    <mergeCell ref="G3:G4"/>
    <mergeCell ref="I3:I4"/>
    <mergeCell ref="J3:T3"/>
    <mergeCell ref="A14:A16"/>
    <mergeCell ref="A41:A43"/>
    <mergeCell ref="A48:T48"/>
    <mergeCell ref="A49:A50"/>
    <mergeCell ref="B49:B50"/>
    <mergeCell ref="C49:E49"/>
    <mergeCell ref="G49:G50"/>
    <mergeCell ref="I49:I50"/>
    <mergeCell ref="J49:S49"/>
    <mergeCell ref="A85:A86"/>
    <mergeCell ref="A58:A61"/>
    <mergeCell ref="B66:T66"/>
    <mergeCell ref="A75:T75"/>
    <mergeCell ref="A76:A77"/>
    <mergeCell ref="B76:B77"/>
    <mergeCell ref="C76:E76"/>
    <mergeCell ref="G76:G77"/>
    <mergeCell ref="I76:I77"/>
    <mergeCell ref="J76:S76"/>
  </mergeCells>
  <printOptions horizontalCentered="1"/>
  <pageMargins left="0.5902777777777778" right="0.5902777777777778" top="0.9534722222222223" bottom="0.875" header="0.5902777777777778" footer="0.5902777777777778"/>
  <pageSetup horizontalDpi="300" verticalDpi="300" orientation="landscape" paperSize="9" scale="38" r:id="rId1"/>
  <headerFooter alignWithMargins="0">
    <oddHeader>&amp;R&amp;"Times New Roman,Normalny"&amp;12Załącznik nr  1 do uchwały Nr  XXI/274/2012 z dnia 29 marca  2012 w sprawie  wieloletniej prognozy finansowej Gminy Barlinek na lata 2012-2023</oddHeader>
    <oddFooter>&amp;C&amp;"Times New Roman,Normalny"&amp;12Strona &amp;P z &amp;N</oddFooter>
  </headerFooter>
  <rowBreaks count="2" manualBreakCount="2">
    <brk id="25" max="25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view="pageBreakPreview" zoomScale="50" zoomScaleSheetLayoutView="50" workbookViewId="0" topLeftCell="A1">
      <pane ySplit="4" topLeftCell="BM5" activePane="bottomLeft" state="frozen"/>
      <selection pane="topLeft" activeCell="A1" sqref="A1"/>
      <selection pane="bottomLeft" activeCell="H49" sqref="H49"/>
    </sheetView>
  </sheetViews>
  <sheetFormatPr defaultColWidth="8.796875" defaultRowHeight="14.25"/>
  <cols>
    <col min="1" max="1" width="8.59765625" style="87" customWidth="1"/>
    <col min="2" max="2" width="5" style="87" customWidth="1"/>
    <col min="3" max="3" width="4.19921875" style="87" customWidth="1"/>
    <col min="4" max="4" width="68.3984375" style="87" customWidth="1"/>
    <col min="5" max="5" width="23.69921875" style="88" customWidth="1"/>
    <col min="6" max="6" width="12.69921875" style="88" customWidth="1"/>
    <col min="7" max="7" width="13" style="88" customWidth="1"/>
    <col min="8" max="8" width="20.3984375" style="89" customWidth="1"/>
    <col min="9" max="9" width="0" style="90" hidden="1" customWidth="1"/>
    <col min="10" max="10" width="0" style="91" hidden="1" customWidth="1"/>
    <col min="11" max="11" width="0" style="92" hidden="1" customWidth="1"/>
    <col min="12" max="14" width="20.3984375" style="91" customWidth="1"/>
    <col min="15" max="15" width="17.69921875" style="91" customWidth="1"/>
    <col min="16" max="16" width="17.19921875" style="91" customWidth="1"/>
    <col min="17" max="17" width="15.19921875" style="91" customWidth="1"/>
    <col min="18" max="18" width="17.69921875" style="91" customWidth="1"/>
    <col min="19" max="19" width="17" style="91" customWidth="1"/>
    <col min="20" max="20" width="17.19921875" style="91" customWidth="1"/>
    <col min="21" max="21" width="16.19921875" style="91" customWidth="1"/>
    <col min="22" max="22" width="15.69921875" style="91" customWidth="1"/>
    <col min="23" max="23" width="0" style="91" hidden="1" customWidth="1"/>
    <col min="24" max="24" width="20.3984375" style="91" customWidth="1"/>
    <col min="25" max="25" width="9" style="91" customWidth="1"/>
    <col min="26" max="16384" width="9" style="88" customWidth="1"/>
  </cols>
  <sheetData>
    <row r="1" spans="1:25" ht="76.5" customHeight="1">
      <c r="A1" s="261" t="s">
        <v>140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93"/>
    </row>
    <row r="2" spans="1:25" s="96" customFormat="1" ht="38.25" customHeight="1">
      <c r="A2" s="262" t="s">
        <v>2</v>
      </c>
      <c r="B2" s="262" t="s">
        <v>3</v>
      </c>
      <c r="C2" s="262"/>
      <c r="D2" s="262"/>
      <c r="E2" s="262" t="s">
        <v>141</v>
      </c>
      <c r="F2" s="262" t="s">
        <v>142</v>
      </c>
      <c r="G2" s="262"/>
      <c r="H2" s="262" t="s">
        <v>143</v>
      </c>
      <c r="I2" s="260" t="s">
        <v>144</v>
      </c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2" t="s">
        <v>145</v>
      </c>
      <c r="Y2" s="95"/>
    </row>
    <row r="3" spans="1:25" s="96" customFormat="1" ht="38.25" customHeight="1">
      <c r="A3" s="262"/>
      <c r="B3" s="262"/>
      <c r="C3" s="262"/>
      <c r="D3" s="262"/>
      <c r="E3" s="262"/>
      <c r="F3" s="262"/>
      <c r="G3" s="262"/>
      <c r="H3" s="262"/>
      <c r="I3" s="97" t="s">
        <v>12</v>
      </c>
      <c r="J3" s="263" t="s">
        <v>12</v>
      </c>
      <c r="K3" s="97"/>
      <c r="L3" s="260" t="s">
        <v>146</v>
      </c>
      <c r="M3" s="260" t="s">
        <v>13</v>
      </c>
      <c r="N3" s="260" t="s">
        <v>14</v>
      </c>
      <c r="O3" s="260" t="s">
        <v>15</v>
      </c>
      <c r="P3" s="260" t="s">
        <v>16</v>
      </c>
      <c r="Q3" s="260" t="s">
        <v>17</v>
      </c>
      <c r="R3" s="260" t="s">
        <v>18</v>
      </c>
      <c r="S3" s="260" t="s">
        <v>19</v>
      </c>
      <c r="T3" s="260" t="s">
        <v>20</v>
      </c>
      <c r="U3" s="260" t="s">
        <v>21</v>
      </c>
      <c r="V3" s="260" t="s">
        <v>22</v>
      </c>
      <c r="W3" s="260" t="s">
        <v>23</v>
      </c>
      <c r="X3" s="262"/>
      <c r="Y3" s="95"/>
    </row>
    <row r="4" spans="1:25" s="96" customFormat="1" ht="38.25" customHeight="1">
      <c r="A4" s="262"/>
      <c r="B4" s="262"/>
      <c r="C4" s="262"/>
      <c r="D4" s="262"/>
      <c r="E4" s="262"/>
      <c r="F4" s="94" t="s">
        <v>147</v>
      </c>
      <c r="G4" s="94" t="s">
        <v>148</v>
      </c>
      <c r="H4" s="262"/>
      <c r="I4" s="98" t="s">
        <v>11</v>
      </c>
      <c r="J4" s="263"/>
      <c r="K4" s="98" t="s">
        <v>4</v>
      </c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2"/>
      <c r="Y4" s="99"/>
    </row>
    <row r="5" spans="1:25" s="107" customFormat="1" ht="45.75" customHeight="1">
      <c r="A5" s="100" t="s">
        <v>24</v>
      </c>
      <c r="B5" s="258" t="s">
        <v>149</v>
      </c>
      <c r="C5" s="258"/>
      <c r="D5" s="258"/>
      <c r="E5" s="102" t="s">
        <v>108</v>
      </c>
      <c r="F5" s="102" t="s">
        <v>108</v>
      </c>
      <c r="G5" s="102" t="s">
        <v>108</v>
      </c>
      <c r="H5" s="103">
        <f>H6+H7</f>
        <v>65052532.194782406</v>
      </c>
      <c r="I5" s="104">
        <f>K5/J5*100</f>
        <v>0</v>
      </c>
      <c r="J5" s="103">
        <f>J6+J7</f>
        <v>7125095</v>
      </c>
      <c r="K5" s="105"/>
      <c r="L5" s="103">
        <f aca="true" t="shared" si="0" ref="L5:X5">L6+L7</f>
        <v>7638919</v>
      </c>
      <c r="M5" s="103">
        <f t="shared" si="0"/>
        <v>9256856.325</v>
      </c>
      <c r="N5" s="103">
        <f t="shared" si="0"/>
        <v>13635890.1875</v>
      </c>
      <c r="O5" s="103">
        <f t="shared" si="0"/>
        <v>9460033.3421875</v>
      </c>
      <c r="P5" s="103">
        <f t="shared" si="0"/>
        <v>2985098.825742188</v>
      </c>
      <c r="Q5" s="103">
        <f t="shared" si="0"/>
        <v>2416431.0963857425</v>
      </c>
      <c r="R5" s="103">
        <f t="shared" si="0"/>
        <v>2046812.2237953856</v>
      </c>
      <c r="S5" s="103">
        <f t="shared" si="0"/>
        <v>2080246.9043902704</v>
      </c>
      <c r="T5" s="103">
        <f t="shared" si="0"/>
        <v>2114759.477000027</v>
      </c>
      <c r="U5" s="103">
        <f t="shared" si="0"/>
        <v>2150379.938925028</v>
      </c>
      <c r="V5" s="103">
        <f t="shared" si="0"/>
        <v>2187131.9623981533</v>
      </c>
      <c r="W5" s="103">
        <f t="shared" si="0"/>
        <v>1954877.9114581072</v>
      </c>
      <c r="X5" s="103">
        <f t="shared" si="0"/>
        <v>57927437.194782406</v>
      </c>
      <c r="Y5" s="106"/>
    </row>
    <row r="6" spans="1:25" s="107" customFormat="1" ht="30.75" customHeight="1">
      <c r="A6" s="100" t="s">
        <v>26</v>
      </c>
      <c r="B6" s="258" t="s">
        <v>150</v>
      </c>
      <c r="C6" s="258"/>
      <c r="D6" s="258"/>
      <c r="E6" s="102" t="s">
        <v>108</v>
      </c>
      <c r="F6" s="102" t="s">
        <v>108</v>
      </c>
      <c r="G6" s="102" t="s">
        <v>108</v>
      </c>
      <c r="H6" s="103">
        <f>SUM(J6:W6)</f>
        <v>26832876.194782402</v>
      </c>
      <c r="I6" s="104">
        <f>K6/J6*100</f>
        <v>0</v>
      </c>
      <c r="J6" s="103">
        <f>J10+J29+J36+J40+J42</f>
        <v>1624603</v>
      </c>
      <c r="K6" s="105"/>
      <c r="L6" s="103">
        <f aca="true" t="shared" si="1" ref="L6:X6">L10+L29+L36+L40+L42</f>
        <v>2037669</v>
      </c>
      <c r="M6" s="103">
        <f t="shared" si="1"/>
        <v>2358926.325</v>
      </c>
      <c r="N6" s="103">
        <f t="shared" si="1"/>
        <v>2141246.1875</v>
      </c>
      <c r="O6" s="103">
        <f t="shared" si="1"/>
        <v>2134693.3421875</v>
      </c>
      <c r="P6" s="103">
        <f t="shared" si="1"/>
        <v>1985098.8257421877</v>
      </c>
      <c r="Q6" s="103">
        <f t="shared" si="1"/>
        <v>2016431.0963857423</v>
      </c>
      <c r="R6" s="103">
        <f t="shared" si="1"/>
        <v>2046812.2237953856</v>
      </c>
      <c r="S6" s="103">
        <f t="shared" si="1"/>
        <v>2080246.9043902704</v>
      </c>
      <c r="T6" s="103">
        <f t="shared" si="1"/>
        <v>2114759.477000027</v>
      </c>
      <c r="U6" s="103">
        <f t="shared" si="1"/>
        <v>2150379.938925028</v>
      </c>
      <c r="V6" s="103">
        <f t="shared" si="1"/>
        <v>2187131.9623981533</v>
      </c>
      <c r="W6" s="103">
        <f t="shared" si="1"/>
        <v>1954877.9114581072</v>
      </c>
      <c r="X6" s="103">
        <f t="shared" si="1"/>
        <v>25208273.194782402</v>
      </c>
      <c r="Y6" s="106"/>
    </row>
    <row r="7" spans="1:25" s="107" customFormat="1" ht="30.75" customHeight="1">
      <c r="A7" s="100" t="s">
        <v>28</v>
      </c>
      <c r="B7" s="258" t="s">
        <v>151</v>
      </c>
      <c r="C7" s="258"/>
      <c r="D7" s="258"/>
      <c r="E7" s="102" t="s">
        <v>108</v>
      </c>
      <c r="F7" s="102" t="s">
        <v>108</v>
      </c>
      <c r="G7" s="102" t="s">
        <v>108</v>
      </c>
      <c r="H7" s="103">
        <f>SUM(J7:W7)</f>
        <v>38219656</v>
      </c>
      <c r="I7" s="104">
        <f>K7/J7*100</f>
        <v>0</v>
      </c>
      <c r="J7" s="103">
        <f>J11+J30+J37+J41</f>
        <v>5500492</v>
      </c>
      <c r="K7" s="105"/>
      <c r="L7" s="103">
        <f aca="true" t="shared" si="2" ref="L7:X7">L11+L30+L37+L41</f>
        <v>5601250</v>
      </c>
      <c r="M7" s="103">
        <f t="shared" si="2"/>
        <v>6897930</v>
      </c>
      <c r="N7" s="103">
        <f t="shared" si="2"/>
        <v>11494644</v>
      </c>
      <c r="O7" s="103">
        <f t="shared" si="2"/>
        <v>7325340</v>
      </c>
      <c r="P7" s="103">
        <f t="shared" si="2"/>
        <v>1000000</v>
      </c>
      <c r="Q7" s="103">
        <f t="shared" si="2"/>
        <v>400000</v>
      </c>
      <c r="R7" s="103">
        <f t="shared" si="2"/>
        <v>0</v>
      </c>
      <c r="S7" s="103">
        <f t="shared" si="2"/>
        <v>0</v>
      </c>
      <c r="T7" s="103">
        <f t="shared" si="2"/>
        <v>0</v>
      </c>
      <c r="U7" s="103">
        <f t="shared" si="2"/>
        <v>0</v>
      </c>
      <c r="V7" s="103">
        <f t="shared" si="2"/>
        <v>0</v>
      </c>
      <c r="W7" s="103">
        <f t="shared" si="2"/>
        <v>0</v>
      </c>
      <c r="X7" s="103">
        <f t="shared" si="2"/>
        <v>32719164</v>
      </c>
      <c r="Y7" s="106"/>
    </row>
    <row r="8" spans="1:25" s="87" customFormat="1" ht="30.75" customHeight="1">
      <c r="A8" s="108"/>
      <c r="B8" s="259" t="s">
        <v>152</v>
      </c>
      <c r="C8" s="259"/>
      <c r="D8" s="259"/>
      <c r="E8" s="109"/>
      <c r="F8" s="109"/>
      <c r="G8" s="109"/>
      <c r="H8" s="109"/>
      <c r="I8" s="110"/>
      <c r="J8" s="109"/>
      <c r="K8" s="11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12">
        <f>SUM(J8:W8)</f>
        <v>0</v>
      </c>
      <c r="Y8" s="113"/>
    </row>
    <row r="9" spans="1:25" s="116" customFormat="1" ht="104.25" customHeight="1">
      <c r="A9" s="114"/>
      <c r="B9" s="256" t="s">
        <v>153</v>
      </c>
      <c r="C9" s="255" t="s">
        <v>154</v>
      </c>
      <c r="D9" s="255"/>
      <c r="E9" s="102" t="s">
        <v>108</v>
      </c>
      <c r="F9" s="102" t="s">
        <v>108</v>
      </c>
      <c r="G9" s="102" t="s">
        <v>108</v>
      </c>
      <c r="H9" s="103">
        <f>H10+H11</f>
        <v>15025923.825</v>
      </c>
      <c r="I9" s="104">
        <f>K9/J9*100</f>
        <v>0</v>
      </c>
      <c r="J9" s="103">
        <f>J10+J11</f>
        <v>1470817</v>
      </c>
      <c r="K9" s="105"/>
      <c r="L9" s="103">
        <f aca="true" t="shared" si="3" ref="L9:W9">L10+L11</f>
        <v>2733473</v>
      </c>
      <c r="M9" s="103">
        <f t="shared" si="3"/>
        <v>6191989.825</v>
      </c>
      <c r="N9" s="103">
        <f t="shared" si="3"/>
        <v>2819644</v>
      </c>
      <c r="O9" s="103">
        <f t="shared" si="3"/>
        <v>1310000</v>
      </c>
      <c r="P9" s="103">
        <f t="shared" si="3"/>
        <v>500000</v>
      </c>
      <c r="Q9" s="103">
        <f t="shared" si="3"/>
        <v>0</v>
      </c>
      <c r="R9" s="103">
        <f t="shared" si="3"/>
        <v>0</v>
      </c>
      <c r="S9" s="103">
        <f t="shared" si="3"/>
        <v>0</v>
      </c>
      <c r="T9" s="103">
        <f t="shared" si="3"/>
        <v>0</v>
      </c>
      <c r="U9" s="103">
        <f t="shared" si="3"/>
        <v>0</v>
      </c>
      <c r="V9" s="103">
        <f t="shared" si="3"/>
        <v>0</v>
      </c>
      <c r="W9" s="103">
        <f t="shared" si="3"/>
        <v>0</v>
      </c>
      <c r="X9" s="103">
        <f aca="true" t="shared" si="4" ref="X9:X42">SUM(L9:W9)</f>
        <v>13555106.825</v>
      </c>
      <c r="Y9" s="106"/>
    </row>
    <row r="10" spans="1:25" s="107" customFormat="1" ht="30.75" customHeight="1">
      <c r="A10" s="114"/>
      <c r="B10" s="256"/>
      <c r="C10" s="258" t="s">
        <v>150</v>
      </c>
      <c r="D10" s="258"/>
      <c r="E10" s="102" t="s">
        <v>108</v>
      </c>
      <c r="F10" s="102" t="s">
        <v>108</v>
      </c>
      <c r="G10" s="102" t="s">
        <v>108</v>
      </c>
      <c r="H10" s="103">
        <f>SUM(J10:W10)</f>
        <v>665607.825</v>
      </c>
      <c r="I10" s="104">
        <f>K10/J10*100</f>
        <v>0</v>
      </c>
      <c r="J10" s="103">
        <f>J14+J17+J20+J23+J26</f>
        <v>213075</v>
      </c>
      <c r="K10" s="105"/>
      <c r="L10" s="103">
        <f aca="true" t="shared" si="5" ref="L10:W10">L14+L17+L20+L23+L26</f>
        <v>223473</v>
      </c>
      <c r="M10" s="103">
        <f t="shared" si="5"/>
        <v>229059.825</v>
      </c>
      <c r="N10" s="103">
        <f t="shared" si="5"/>
        <v>0</v>
      </c>
      <c r="O10" s="103">
        <f t="shared" si="5"/>
        <v>0</v>
      </c>
      <c r="P10" s="103">
        <f t="shared" si="5"/>
        <v>0</v>
      </c>
      <c r="Q10" s="103">
        <f t="shared" si="5"/>
        <v>0</v>
      </c>
      <c r="R10" s="103">
        <f t="shared" si="5"/>
        <v>0</v>
      </c>
      <c r="S10" s="103">
        <f t="shared" si="5"/>
        <v>0</v>
      </c>
      <c r="T10" s="103">
        <f t="shared" si="5"/>
        <v>0</v>
      </c>
      <c r="U10" s="103">
        <f t="shared" si="5"/>
        <v>0</v>
      </c>
      <c r="V10" s="103">
        <f t="shared" si="5"/>
        <v>0</v>
      </c>
      <c r="W10" s="103">
        <f t="shared" si="5"/>
        <v>0</v>
      </c>
      <c r="X10" s="103">
        <f t="shared" si="4"/>
        <v>452532.825</v>
      </c>
      <c r="Y10" s="106"/>
    </row>
    <row r="11" spans="1:25" s="107" customFormat="1" ht="30.75" customHeight="1">
      <c r="A11" s="114"/>
      <c r="B11" s="256"/>
      <c r="C11" s="258" t="s">
        <v>151</v>
      </c>
      <c r="D11" s="258"/>
      <c r="E11" s="102" t="s">
        <v>108</v>
      </c>
      <c r="F11" s="102" t="s">
        <v>108</v>
      </c>
      <c r="G11" s="102" t="s">
        <v>108</v>
      </c>
      <c r="H11" s="103">
        <f>SUM(J11:W11)</f>
        <v>14360316</v>
      </c>
      <c r="I11" s="104">
        <f>K11/J11*100</f>
        <v>0</v>
      </c>
      <c r="J11" s="103">
        <f>J15+J18+J21+J24+J27</f>
        <v>1257742</v>
      </c>
      <c r="K11" s="105"/>
      <c r="L11" s="103">
        <f aca="true" t="shared" si="6" ref="L11:W11">L15+L18+L21+L24+L27</f>
        <v>2510000</v>
      </c>
      <c r="M11" s="103">
        <f t="shared" si="6"/>
        <v>5962930</v>
      </c>
      <c r="N11" s="103">
        <f t="shared" si="6"/>
        <v>2819644</v>
      </c>
      <c r="O11" s="103">
        <f t="shared" si="6"/>
        <v>1310000</v>
      </c>
      <c r="P11" s="103">
        <f t="shared" si="6"/>
        <v>500000</v>
      </c>
      <c r="Q11" s="103">
        <f t="shared" si="6"/>
        <v>0</v>
      </c>
      <c r="R11" s="103">
        <f t="shared" si="6"/>
        <v>0</v>
      </c>
      <c r="S11" s="103">
        <f t="shared" si="6"/>
        <v>0</v>
      </c>
      <c r="T11" s="103">
        <f t="shared" si="6"/>
        <v>0</v>
      </c>
      <c r="U11" s="103">
        <f t="shared" si="6"/>
        <v>0</v>
      </c>
      <c r="V11" s="103">
        <f t="shared" si="6"/>
        <v>0</v>
      </c>
      <c r="W11" s="103">
        <f t="shared" si="6"/>
        <v>0</v>
      </c>
      <c r="X11" s="103">
        <f t="shared" si="4"/>
        <v>13102574</v>
      </c>
      <c r="Y11" s="106"/>
    </row>
    <row r="12" spans="1:25" s="87" customFormat="1" ht="30.75" customHeight="1">
      <c r="A12" s="114"/>
      <c r="B12" s="256"/>
      <c r="C12" s="259" t="s">
        <v>155</v>
      </c>
      <c r="D12" s="259"/>
      <c r="E12" s="109"/>
      <c r="F12" s="109"/>
      <c r="G12" s="109"/>
      <c r="H12" s="109"/>
      <c r="I12" s="110"/>
      <c r="J12" s="109"/>
      <c r="K12" s="111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3">
        <f t="shared" si="4"/>
        <v>0</v>
      </c>
      <c r="Y12" s="113"/>
    </row>
    <row r="13" spans="1:25" s="122" customFormat="1" ht="76.5">
      <c r="A13" s="114"/>
      <c r="B13" s="256"/>
      <c r="C13" s="102" t="s">
        <v>156</v>
      </c>
      <c r="D13" s="117" t="s">
        <v>157</v>
      </c>
      <c r="E13" s="118" t="s">
        <v>158</v>
      </c>
      <c r="F13" s="118"/>
      <c r="G13" s="118"/>
      <c r="H13" s="119">
        <f>H14+H15</f>
        <v>665607.8250000001</v>
      </c>
      <c r="I13" s="104">
        <f>K13/J13*100</f>
        <v>0</v>
      </c>
      <c r="J13" s="119">
        <f>J14+J15</f>
        <v>213075</v>
      </c>
      <c r="K13" s="120"/>
      <c r="L13" s="119">
        <f aca="true" t="shared" si="7" ref="L13:W13">L14+L15</f>
        <v>223473</v>
      </c>
      <c r="M13" s="119">
        <f t="shared" si="7"/>
        <v>229059.825</v>
      </c>
      <c r="N13" s="119">
        <f t="shared" si="7"/>
        <v>0</v>
      </c>
      <c r="O13" s="119">
        <f t="shared" si="7"/>
        <v>0</v>
      </c>
      <c r="P13" s="119">
        <f t="shared" si="7"/>
        <v>0</v>
      </c>
      <c r="Q13" s="119">
        <f t="shared" si="7"/>
        <v>0</v>
      </c>
      <c r="R13" s="119">
        <f t="shared" si="7"/>
        <v>0</v>
      </c>
      <c r="S13" s="119">
        <f t="shared" si="7"/>
        <v>0</v>
      </c>
      <c r="T13" s="119">
        <f t="shared" si="7"/>
        <v>0</v>
      </c>
      <c r="U13" s="119">
        <f t="shared" si="7"/>
        <v>0</v>
      </c>
      <c r="V13" s="119">
        <f t="shared" si="7"/>
        <v>0</v>
      </c>
      <c r="W13" s="119">
        <f t="shared" si="7"/>
        <v>0</v>
      </c>
      <c r="X13" s="103">
        <f t="shared" si="4"/>
        <v>452532.825</v>
      </c>
      <c r="Y13" s="121"/>
    </row>
    <row r="14" spans="1:25" s="122" customFormat="1" ht="30.75" customHeight="1">
      <c r="A14" s="114"/>
      <c r="B14" s="256"/>
      <c r="C14" s="123"/>
      <c r="D14" s="123" t="s">
        <v>150</v>
      </c>
      <c r="E14" s="124" t="s">
        <v>108</v>
      </c>
      <c r="F14" s="124" t="s">
        <v>108</v>
      </c>
      <c r="G14" s="124" t="s">
        <v>108</v>
      </c>
      <c r="H14" s="125">
        <f>'załcznika 2a'!H13</f>
        <v>0</v>
      </c>
      <c r="I14" s="126">
        <f>'załcznika 2a'!I15</f>
        <v>42.15316672533146</v>
      </c>
      <c r="J14" s="125">
        <f>'załcznika 2a'!J15</f>
        <v>213075</v>
      </c>
      <c r="K14" s="127"/>
      <c r="L14" s="125">
        <f>'załcznika 2a'!L15</f>
        <v>223473</v>
      </c>
      <c r="M14" s="125">
        <f>'załcznika 2a'!M15</f>
        <v>229059.825</v>
      </c>
      <c r="N14" s="125">
        <f>'załcznika 2a'!N15</f>
        <v>0</v>
      </c>
      <c r="O14" s="125">
        <f>'załcznika 2a'!O15</f>
        <v>0</v>
      </c>
      <c r="P14" s="125">
        <f>'załcznika 2a'!P15</f>
        <v>0</v>
      </c>
      <c r="Q14" s="125">
        <f>'załcznika 2a'!Q15</f>
        <v>0</v>
      </c>
      <c r="R14" s="125">
        <f>'załcznika 2a'!R15</f>
        <v>0</v>
      </c>
      <c r="S14" s="125">
        <f>'załcznika 2a'!S15</f>
        <v>0</v>
      </c>
      <c r="T14" s="125">
        <f>'załcznika 2a'!T15</f>
        <v>0</v>
      </c>
      <c r="U14" s="125">
        <f>'załcznika 2a'!U15</f>
        <v>0</v>
      </c>
      <c r="V14" s="125">
        <f>'załcznika 2a'!V15</f>
        <v>0</v>
      </c>
      <c r="W14" s="125">
        <f>'załcznika 2a'!W15</f>
        <v>0</v>
      </c>
      <c r="X14" s="112">
        <f t="shared" si="4"/>
        <v>452532.825</v>
      </c>
      <c r="Y14" s="128"/>
    </row>
    <row r="15" spans="1:25" s="122" customFormat="1" ht="30.75" customHeight="1">
      <c r="A15" s="114"/>
      <c r="B15" s="256"/>
      <c r="C15" s="123"/>
      <c r="D15" s="123" t="s">
        <v>159</v>
      </c>
      <c r="E15" s="124" t="s">
        <v>108</v>
      </c>
      <c r="F15" s="124" t="s">
        <v>108</v>
      </c>
      <c r="G15" s="124" t="s">
        <v>108</v>
      </c>
      <c r="H15" s="125">
        <f>'załcznika 2a'!H14</f>
        <v>665607.8250000001</v>
      </c>
      <c r="I15" s="126"/>
      <c r="J15" s="125">
        <f>'załcznika 2a'!J16</f>
        <v>0</v>
      </c>
      <c r="K15" s="127"/>
      <c r="L15" s="125">
        <f>'załcznika 2a'!L16</f>
        <v>0</v>
      </c>
      <c r="M15" s="125">
        <f>'załcznika 2a'!M16</f>
        <v>0</v>
      </c>
      <c r="N15" s="125">
        <f>'załcznika 2a'!N16</f>
        <v>0</v>
      </c>
      <c r="O15" s="125">
        <f>'załcznika 2a'!O16</f>
        <v>0</v>
      </c>
      <c r="P15" s="125">
        <f>'załcznika 2a'!P16</f>
        <v>0</v>
      </c>
      <c r="Q15" s="125">
        <f>'załcznika 2a'!Q16</f>
        <v>0</v>
      </c>
      <c r="R15" s="125">
        <f>'załcznika 2a'!R16</f>
        <v>0</v>
      </c>
      <c r="S15" s="125">
        <f>'załcznika 2a'!S16</f>
        <v>0</v>
      </c>
      <c r="T15" s="125">
        <f>'załcznika 2a'!T16</f>
        <v>0</v>
      </c>
      <c r="U15" s="125">
        <f>'załcznika 2a'!U16</f>
        <v>0</v>
      </c>
      <c r="V15" s="125">
        <f>'załcznika 2a'!V16</f>
        <v>0</v>
      </c>
      <c r="W15" s="125">
        <f>'załcznika 2a'!W16</f>
        <v>0</v>
      </c>
      <c r="X15" s="112">
        <f t="shared" si="4"/>
        <v>0</v>
      </c>
      <c r="Y15" s="128"/>
    </row>
    <row r="16" spans="1:25" s="122" customFormat="1" ht="30.75" customHeight="1">
      <c r="A16" s="114"/>
      <c r="B16" s="256"/>
      <c r="C16" s="102" t="s">
        <v>160</v>
      </c>
      <c r="D16" s="117" t="s">
        <v>161</v>
      </c>
      <c r="E16" s="118" t="s">
        <v>162</v>
      </c>
      <c r="F16" s="118"/>
      <c r="G16" s="118"/>
      <c r="H16" s="119">
        <f>H17+H18</f>
        <v>10000574</v>
      </c>
      <c r="I16" s="104">
        <f>K16/J16*100</f>
        <v>0</v>
      </c>
      <c r="J16" s="119">
        <f>J17+J18</f>
        <v>590000</v>
      </c>
      <c r="K16" s="120"/>
      <c r="L16" s="119">
        <f aca="true" t="shared" si="8" ref="L16:W16">L17+L18</f>
        <v>610000</v>
      </c>
      <c r="M16" s="119">
        <f t="shared" si="8"/>
        <v>4770930</v>
      </c>
      <c r="N16" s="119">
        <f t="shared" si="8"/>
        <v>2219644</v>
      </c>
      <c r="O16" s="119">
        <f t="shared" si="8"/>
        <v>1310000</v>
      </c>
      <c r="P16" s="119">
        <f t="shared" si="8"/>
        <v>500000</v>
      </c>
      <c r="Q16" s="119">
        <f t="shared" si="8"/>
        <v>0</v>
      </c>
      <c r="R16" s="119">
        <f t="shared" si="8"/>
        <v>0</v>
      </c>
      <c r="S16" s="119">
        <f t="shared" si="8"/>
        <v>0</v>
      </c>
      <c r="T16" s="119">
        <f t="shared" si="8"/>
        <v>0</v>
      </c>
      <c r="U16" s="119">
        <f t="shared" si="8"/>
        <v>0</v>
      </c>
      <c r="V16" s="119">
        <f t="shared" si="8"/>
        <v>0</v>
      </c>
      <c r="W16" s="119">
        <f t="shared" si="8"/>
        <v>0</v>
      </c>
      <c r="X16" s="103">
        <f t="shared" si="4"/>
        <v>9410574</v>
      </c>
      <c r="Y16" s="121"/>
    </row>
    <row r="17" spans="1:25" s="122" customFormat="1" ht="30.75" customHeight="1">
      <c r="A17" s="114"/>
      <c r="B17" s="256"/>
      <c r="C17" s="123"/>
      <c r="D17" s="129" t="s">
        <v>150</v>
      </c>
      <c r="E17" s="124" t="s">
        <v>108</v>
      </c>
      <c r="F17" s="124" t="s">
        <v>108</v>
      </c>
      <c r="G17" s="124" t="s">
        <v>108</v>
      </c>
      <c r="H17" s="125">
        <f>SUM(J17:W17)</f>
        <v>0</v>
      </c>
      <c r="I17" s="126" t="e">
        <f>'załcznika 2a'!I18</f>
        <v>#DIV/0!</v>
      </c>
      <c r="J17" s="125">
        <f>'załcznika 2a'!J18</f>
        <v>0</v>
      </c>
      <c r="K17" s="127"/>
      <c r="L17" s="125">
        <f>'załcznika 2a'!L18</f>
        <v>0</v>
      </c>
      <c r="M17" s="125">
        <f>'załcznika 2a'!M18</f>
        <v>0</v>
      </c>
      <c r="N17" s="125">
        <f>'załcznika 2a'!N18</f>
        <v>0</v>
      </c>
      <c r="O17" s="125">
        <f>'załcznika 2a'!O18</f>
        <v>0</v>
      </c>
      <c r="P17" s="125">
        <f>'załcznika 2a'!P18</f>
        <v>0</v>
      </c>
      <c r="Q17" s="125">
        <f>'załcznika 2a'!Q18</f>
        <v>0</v>
      </c>
      <c r="R17" s="125">
        <f>'załcznika 2a'!R18</f>
        <v>0</v>
      </c>
      <c r="S17" s="125">
        <f>'załcznika 2a'!S18</f>
        <v>0</v>
      </c>
      <c r="T17" s="125">
        <f>'załcznika 2a'!T18</f>
        <v>0</v>
      </c>
      <c r="U17" s="125">
        <f>'załcznika 2a'!U18</f>
        <v>0</v>
      </c>
      <c r="V17" s="125">
        <f>'załcznika 2a'!V18</f>
        <v>0</v>
      </c>
      <c r="W17" s="125">
        <f>'załcznika 2a'!W18</f>
        <v>0</v>
      </c>
      <c r="X17" s="112">
        <f t="shared" si="4"/>
        <v>0</v>
      </c>
      <c r="Y17" s="128"/>
    </row>
    <row r="18" spans="1:25" s="122" customFormat="1" ht="30.75" customHeight="1">
      <c r="A18" s="114"/>
      <c r="B18" s="256"/>
      <c r="C18" s="123"/>
      <c r="D18" s="123" t="s">
        <v>159</v>
      </c>
      <c r="E18" s="124" t="s">
        <v>108</v>
      </c>
      <c r="F18" s="124" t="s">
        <v>108</v>
      </c>
      <c r="G18" s="124" t="s">
        <v>108</v>
      </c>
      <c r="H18" s="125">
        <f>SUM(J18:W18)</f>
        <v>10000574</v>
      </c>
      <c r="I18" s="126">
        <f>'załcznika 2a'!I19</f>
        <v>1.5508474576271187</v>
      </c>
      <c r="J18" s="125">
        <f>'załcznika 2a'!J19</f>
        <v>590000</v>
      </c>
      <c r="K18" s="127"/>
      <c r="L18" s="125">
        <f>'załcznika 2a'!L19</f>
        <v>610000</v>
      </c>
      <c r="M18" s="125">
        <f>'załcznika 2a'!M19</f>
        <v>4770930</v>
      </c>
      <c r="N18" s="125">
        <f>'załcznika 2a'!N19</f>
        <v>2219644</v>
      </c>
      <c r="O18" s="125">
        <f>'załcznika 2a'!O19</f>
        <v>1310000</v>
      </c>
      <c r="P18" s="125">
        <f>'załcznika 2a'!P19</f>
        <v>500000</v>
      </c>
      <c r="Q18" s="125">
        <f>'załcznika 2a'!Q19</f>
        <v>0</v>
      </c>
      <c r="R18" s="125">
        <f>'załcznika 2a'!R19</f>
        <v>0</v>
      </c>
      <c r="S18" s="125">
        <f>'załcznika 2a'!S19</f>
        <v>0</v>
      </c>
      <c r="T18" s="125">
        <f>'załcznika 2a'!T19</f>
        <v>0</v>
      </c>
      <c r="U18" s="125">
        <f>'załcznika 2a'!U19</f>
        <v>0</v>
      </c>
      <c r="V18" s="125">
        <f>'załcznika 2a'!V19</f>
        <v>0</v>
      </c>
      <c r="W18" s="125">
        <f>'załcznika 2a'!W19</f>
        <v>0</v>
      </c>
      <c r="X18" s="112">
        <f t="shared" si="4"/>
        <v>9410574</v>
      </c>
      <c r="Y18" s="128"/>
    </row>
    <row r="19" spans="1:25" s="122" customFormat="1" ht="47.25" customHeight="1">
      <c r="A19" s="114"/>
      <c r="B19" s="256"/>
      <c r="C19" s="102" t="s">
        <v>163</v>
      </c>
      <c r="D19" s="117" t="s">
        <v>164</v>
      </c>
      <c r="E19" s="118" t="s">
        <v>162</v>
      </c>
      <c r="F19" s="118"/>
      <c r="G19" s="118"/>
      <c r="H19" s="119">
        <f>H20+H21</f>
        <v>2292000</v>
      </c>
      <c r="I19" s="104"/>
      <c r="J19" s="119">
        <f>J20+J21</f>
        <v>0</v>
      </c>
      <c r="K19" s="120"/>
      <c r="L19" s="119">
        <f aca="true" t="shared" si="9" ref="L19:W19">L20+L21</f>
        <v>500000</v>
      </c>
      <c r="M19" s="119">
        <f t="shared" si="9"/>
        <v>1192000</v>
      </c>
      <c r="N19" s="119">
        <f t="shared" si="9"/>
        <v>600000</v>
      </c>
      <c r="O19" s="119">
        <f t="shared" si="9"/>
        <v>0</v>
      </c>
      <c r="P19" s="119">
        <f t="shared" si="9"/>
        <v>0</v>
      </c>
      <c r="Q19" s="119">
        <f t="shared" si="9"/>
        <v>0</v>
      </c>
      <c r="R19" s="119">
        <f t="shared" si="9"/>
        <v>0</v>
      </c>
      <c r="S19" s="119">
        <f t="shared" si="9"/>
        <v>0</v>
      </c>
      <c r="T19" s="119">
        <f t="shared" si="9"/>
        <v>0</v>
      </c>
      <c r="U19" s="119">
        <f t="shared" si="9"/>
        <v>0</v>
      </c>
      <c r="V19" s="119">
        <f t="shared" si="9"/>
        <v>0</v>
      </c>
      <c r="W19" s="119">
        <f t="shared" si="9"/>
        <v>0</v>
      </c>
      <c r="X19" s="103">
        <f t="shared" si="4"/>
        <v>2292000</v>
      </c>
      <c r="Y19" s="121"/>
    </row>
    <row r="20" spans="1:25" s="122" customFormat="1" ht="30.75" customHeight="1">
      <c r="A20" s="114"/>
      <c r="B20" s="256"/>
      <c r="C20" s="123"/>
      <c r="D20" s="129" t="s">
        <v>150</v>
      </c>
      <c r="E20" s="124" t="s">
        <v>108</v>
      </c>
      <c r="F20" s="124" t="s">
        <v>108</v>
      </c>
      <c r="G20" s="124" t="s">
        <v>108</v>
      </c>
      <c r="H20" s="125">
        <f>SUM(J20:W20)</f>
        <v>0</v>
      </c>
      <c r="I20" s="126"/>
      <c r="J20" s="119">
        <f>'załcznika 2a'!J48</f>
        <v>0</v>
      </c>
      <c r="K20" s="120"/>
      <c r="L20" s="119">
        <f>'załcznika 2a'!L48</f>
        <v>0</v>
      </c>
      <c r="M20" s="119">
        <f>'załcznika 2a'!M48</f>
        <v>0</v>
      </c>
      <c r="N20" s="119">
        <f>'załcznika 2a'!N48</f>
        <v>0</v>
      </c>
      <c r="O20" s="119">
        <f>'załcznika 2a'!O48</f>
        <v>0</v>
      </c>
      <c r="P20" s="119">
        <f>'załcznika 2a'!P48</f>
        <v>0</v>
      </c>
      <c r="Q20" s="119">
        <f>'załcznika 2a'!Q48</f>
        <v>0</v>
      </c>
      <c r="R20" s="119">
        <f>'załcznika 2a'!R48</f>
        <v>0</v>
      </c>
      <c r="S20" s="119">
        <f>'załcznika 2a'!S48</f>
        <v>0</v>
      </c>
      <c r="T20" s="119">
        <f>'załcznika 2a'!T48</f>
        <v>0</v>
      </c>
      <c r="U20" s="119">
        <f>'załcznika 2a'!U48</f>
        <v>0</v>
      </c>
      <c r="V20" s="119">
        <f>'załcznika 2a'!V48</f>
        <v>0</v>
      </c>
      <c r="W20" s="119">
        <f>'załcznika 2a'!W48</f>
        <v>0</v>
      </c>
      <c r="X20" s="103">
        <f t="shared" si="4"/>
        <v>0</v>
      </c>
      <c r="Y20" s="121"/>
    </row>
    <row r="21" spans="1:25" s="122" customFormat="1" ht="30.75" customHeight="1">
      <c r="A21" s="114"/>
      <c r="B21" s="256"/>
      <c r="C21" s="123"/>
      <c r="D21" s="123" t="s">
        <v>159</v>
      </c>
      <c r="E21" s="124" t="s">
        <v>108</v>
      </c>
      <c r="F21" s="124" t="s">
        <v>108</v>
      </c>
      <c r="G21" s="124" t="s">
        <v>108</v>
      </c>
      <c r="H21" s="119">
        <f>'załcznika 2a'!H47</f>
        <v>2292000</v>
      </c>
      <c r="I21" s="104"/>
      <c r="J21" s="119">
        <f>'załcznika 2a'!J49</f>
        <v>0</v>
      </c>
      <c r="K21" s="120"/>
      <c r="L21" s="119">
        <f>'załcznika 2a'!L49</f>
        <v>500000</v>
      </c>
      <c r="M21" s="119">
        <f>'załcznika 2a'!M49</f>
        <v>1192000</v>
      </c>
      <c r="N21" s="119">
        <f>'załcznika 2a'!N49</f>
        <v>600000</v>
      </c>
      <c r="O21" s="119">
        <f>'załcznika 2a'!O49</f>
        <v>0</v>
      </c>
      <c r="P21" s="119">
        <f>'załcznika 2a'!P49</f>
        <v>0</v>
      </c>
      <c r="Q21" s="119">
        <f>'załcznika 2a'!Q49</f>
        <v>0</v>
      </c>
      <c r="R21" s="119">
        <f>'załcznika 2a'!R49</f>
        <v>0</v>
      </c>
      <c r="S21" s="119">
        <f>'załcznika 2a'!S49</f>
        <v>0</v>
      </c>
      <c r="T21" s="119">
        <f>'załcznika 2a'!T49</f>
        <v>0</v>
      </c>
      <c r="U21" s="119">
        <f>'załcznika 2a'!U49</f>
        <v>0</v>
      </c>
      <c r="V21" s="119">
        <f>'załcznika 2a'!V49</f>
        <v>0</v>
      </c>
      <c r="W21" s="119">
        <f>'załcznika 2a'!W49</f>
        <v>0</v>
      </c>
      <c r="X21" s="103">
        <f t="shared" si="4"/>
        <v>2292000</v>
      </c>
      <c r="Y21" s="121"/>
    </row>
    <row r="22" spans="1:25" s="122" customFormat="1" ht="153" hidden="1">
      <c r="A22" s="114"/>
      <c r="B22" s="256"/>
      <c r="C22" s="115" t="s">
        <v>165</v>
      </c>
      <c r="D22" s="101" t="s">
        <v>166</v>
      </c>
      <c r="E22" s="118" t="s">
        <v>162</v>
      </c>
      <c r="F22" s="118"/>
      <c r="G22" s="118"/>
      <c r="H22" s="119">
        <f>H23+H24</f>
        <v>1150000</v>
      </c>
      <c r="I22" s="130"/>
      <c r="J22" s="119">
        <f>J23+J24</f>
        <v>0</v>
      </c>
      <c r="K22" s="120"/>
      <c r="L22" s="119">
        <f aca="true" t="shared" si="10" ref="L22:W22">L23+L24</f>
        <v>0</v>
      </c>
      <c r="M22" s="119">
        <f t="shared" si="10"/>
        <v>0</v>
      </c>
      <c r="N22" s="119">
        <f t="shared" si="10"/>
        <v>0</v>
      </c>
      <c r="O22" s="119">
        <f t="shared" si="10"/>
        <v>0</v>
      </c>
      <c r="P22" s="119">
        <f t="shared" si="10"/>
        <v>0</v>
      </c>
      <c r="Q22" s="119">
        <f t="shared" si="10"/>
        <v>0</v>
      </c>
      <c r="R22" s="119">
        <f t="shared" si="10"/>
        <v>0</v>
      </c>
      <c r="S22" s="119">
        <f t="shared" si="10"/>
        <v>0</v>
      </c>
      <c r="T22" s="119">
        <f t="shared" si="10"/>
        <v>0</v>
      </c>
      <c r="U22" s="119">
        <f t="shared" si="10"/>
        <v>0</v>
      </c>
      <c r="V22" s="119">
        <f t="shared" si="10"/>
        <v>0</v>
      </c>
      <c r="W22" s="119">
        <f t="shared" si="10"/>
        <v>0</v>
      </c>
      <c r="X22" s="103">
        <f t="shared" si="4"/>
        <v>0</v>
      </c>
      <c r="Y22" s="121"/>
    </row>
    <row r="23" spans="1:25" s="122" customFormat="1" ht="12.75" customHeight="1" hidden="1">
      <c r="A23" s="114"/>
      <c r="B23" s="256"/>
      <c r="C23" s="123"/>
      <c r="D23" s="129" t="s">
        <v>150</v>
      </c>
      <c r="E23" s="124" t="s">
        <v>108</v>
      </c>
      <c r="F23" s="124" t="s">
        <v>108</v>
      </c>
      <c r="G23" s="124" t="s">
        <v>108</v>
      </c>
      <c r="H23" s="125">
        <f>'załcznika 2a'!H61</f>
        <v>1150000</v>
      </c>
      <c r="I23" s="126"/>
      <c r="J23" s="125">
        <f>'załcznika 2a'!J63</f>
        <v>0</v>
      </c>
      <c r="K23" s="127"/>
      <c r="L23" s="125">
        <f>'załcznika 2a'!L63</f>
        <v>0</v>
      </c>
      <c r="M23" s="125">
        <f>'załcznika 2a'!M63</f>
        <v>0</v>
      </c>
      <c r="N23" s="125">
        <f>'załcznika 2a'!N63</f>
        <v>0</v>
      </c>
      <c r="O23" s="125">
        <f>'załcznika 2a'!O63</f>
        <v>0</v>
      </c>
      <c r="P23" s="125">
        <f>'załcznika 2a'!P63</f>
        <v>0</v>
      </c>
      <c r="Q23" s="125">
        <f>'załcznika 2a'!Q63</f>
        <v>0</v>
      </c>
      <c r="R23" s="125">
        <f>'załcznika 2a'!R63</f>
        <v>0</v>
      </c>
      <c r="S23" s="125">
        <f>'załcznika 2a'!S63</f>
        <v>0</v>
      </c>
      <c r="T23" s="125">
        <f>'załcznika 2a'!T63</f>
        <v>0</v>
      </c>
      <c r="U23" s="125">
        <f>'załcznika 2a'!U63</f>
        <v>0</v>
      </c>
      <c r="V23" s="125">
        <f>'załcznika 2a'!V63</f>
        <v>0</v>
      </c>
      <c r="W23" s="125">
        <f>'załcznika 2a'!W63</f>
        <v>0</v>
      </c>
      <c r="X23" s="103">
        <f t="shared" si="4"/>
        <v>0</v>
      </c>
      <c r="Y23" s="128"/>
    </row>
    <row r="24" spans="1:25" s="122" customFormat="1" ht="12.75" customHeight="1" hidden="1">
      <c r="A24" s="114"/>
      <c r="B24" s="256"/>
      <c r="C24" s="123"/>
      <c r="D24" s="123" t="s">
        <v>159</v>
      </c>
      <c r="E24" s="124" t="s">
        <v>108</v>
      </c>
      <c r="F24" s="124" t="s">
        <v>108</v>
      </c>
      <c r="G24" s="124" t="s">
        <v>108</v>
      </c>
      <c r="H24" s="125">
        <f>'załcznika 2a'!H62</f>
        <v>0</v>
      </c>
      <c r="I24" s="126"/>
      <c r="J24" s="125">
        <f>'załcznika 2a'!J64</f>
        <v>0</v>
      </c>
      <c r="K24" s="127"/>
      <c r="L24" s="125">
        <f>'załcznika 2a'!L64</f>
        <v>0</v>
      </c>
      <c r="M24" s="125">
        <f>'załcznika 2a'!M64</f>
        <v>0</v>
      </c>
      <c r="N24" s="125">
        <f>'załcznika 2a'!N64</f>
        <v>0</v>
      </c>
      <c r="O24" s="125">
        <f>'załcznika 2a'!O64</f>
        <v>0</v>
      </c>
      <c r="P24" s="125">
        <f>'załcznika 2a'!P64</f>
        <v>0</v>
      </c>
      <c r="Q24" s="125">
        <f>'załcznika 2a'!Q64</f>
        <v>0</v>
      </c>
      <c r="R24" s="125">
        <f>'załcznika 2a'!R64</f>
        <v>0</v>
      </c>
      <c r="S24" s="125">
        <f>'załcznika 2a'!S64</f>
        <v>0</v>
      </c>
      <c r="T24" s="125">
        <f>'załcznika 2a'!T64</f>
        <v>0</v>
      </c>
      <c r="U24" s="125">
        <f>'załcznika 2a'!U64</f>
        <v>0</v>
      </c>
      <c r="V24" s="125">
        <f>'załcznika 2a'!V64</f>
        <v>0</v>
      </c>
      <c r="W24" s="125">
        <f>'załcznika 2a'!W64</f>
        <v>0</v>
      </c>
      <c r="X24" s="103">
        <f t="shared" si="4"/>
        <v>0</v>
      </c>
      <c r="Y24" s="128"/>
    </row>
    <row r="25" spans="1:25" s="87" customFormat="1" ht="147.75" customHeight="1">
      <c r="A25" s="114"/>
      <c r="B25" s="256"/>
      <c r="C25" s="115" t="s">
        <v>165</v>
      </c>
      <c r="D25" s="131" t="s">
        <v>167</v>
      </c>
      <c r="E25" s="118" t="s">
        <v>162</v>
      </c>
      <c r="F25" s="132"/>
      <c r="G25" s="132"/>
      <c r="H25" s="119">
        <f>H26+H27</f>
        <v>2067742</v>
      </c>
      <c r="I25" s="104">
        <f>K25/J25*100</f>
        <v>0</v>
      </c>
      <c r="J25" s="119">
        <f>J26+J27</f>
        <v>667742</v>
      </c>
      <c r="K25" s="120"/>
      <c r="L25" s="119">
        <f aca="true" t="shared" si="11" ref="L25:W25">L26+L27</f>
        <v>1400000</v>
      </c>
      <c r="M25" s="119">
        <f t="shared" si="11"/>
        <v>0</v>
      </c>
      <c r="N25" s="119">
        <f t="shared" si="11"/>
        <v>0</v>
      </c>
      <c r="O25" s="119">
        <f t="shared" si="11"/>
        <v>0</v>
      </c>
      <c r="P25" s="119">
        <f t="shared" si="11"/>
        <v>0</v>
      </c>
      <c r="Q25" s="119">
        <f t="shared" si="11"/>
        <v>0</v>
      </c>
      <c r="R25" s="119">
        <f t="shared" si="11"/>
        <v>0</v>
      </c>
      <c r="S25" s="119">
        <f t="shared" si="11"/>
        <v>0</v>
      </c>
      <c r="T25" s="119">
        <f t="shared" si="11"/>
        <v>0</v>
      </c>
      <c r="U25" s="119">
        <f t="shared" si="11"/>
        <v>0</v>
      </c>
      <c r="V25" s="119">
        <f t="shared" si="11"/>
        <v>0</v>
      </c>
      <c r="W25" s="119">
        <f t="shared" si="11"/>
        <v>0</v>
      </c>
      <c r="X25" s="103">
        <f t="shared" si="4"/>
        <v>1400000</v>
      </c>
      <c r="Y25" s="121"/>
    </row>
    <row r="26" spans="1:25" s="122" customFormat="1" ht="32.25" customHeight="1">
      <c r="A26" s="114"/>
      <c r="B26" s="256"/>
      <c r="C26" s="123"/>
      <c r="D26" s="129" t="s">
        <v>150</v>
      </c>
      <c r="E26" s="124" t="s">
        <v>108</v>
      </c>
      <c r="F26" s="124" t="s">
        <v>108</v>
      </c>
      <c r="G26" s="124" t="s">
        <v>108</v>
      </c>
      <c r="H26" s="125">
        <f>SUM(J26:W26)</f>
        <v>0</v>
      </c>
      <c r="I26" s="126"/>
      <c r="J26" s="125"/>
      <c r="K26" s="127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03">
        <f t="shared" si="4"/>
        <v>0</v>
      </c>
      <c r="Y26" s="128"/>
    </row>
    <row r="27" spans="1:25" s="122" customFormat="1" ht="30.75" customHeight="1">
      <c r="A27" s="114"/>
      <c r="B27" s="256"/>
      <c r="C27" s="123"/>
      <c r="D27" s="123" t="s">
        <v>159</v>
      </c>
      <c r="E27" s="124" t="s">
        <v>108</v>
      </c>
      <c r="F27" s="124" t="s">
        <v>108</v>
      </c>
      <c r="G27" s="124" t="s">
        <v>108</v>
      </c>
      <c r="H27" s="125">
        <f>'załcznika 2a'!H65</f>
        <v>2067742</v>
      </c>
      <c r="I27" s="126">
        <f>'załcznika 2a'!I67</f>
        <v>0.6415232230412345</v>
      </c>
      <c r="J27" s="125">
        <f>'załcznika 2a'!J67</f>
        <v>667742</v>
      </c>
      <c r="K27" s="127"/>
      <c r="L27" s="125">
        <f>'załcznika 2a'!L67</f>
        <v>1400000</v>
      </c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03">
        <f t="shared" si="4"/>
        <v>1400000</v>
      </c>
      <c r="Y27" s="128"/>
    </row>
    <row r="28" spans="1:25" s="116" customFormat="1" ht="12.75" customHeight="1" hidden="1">
      <c r="A28" s="114"/>
      <c r="B28" s="133" t="s">
        <v>168</v>
      </c>
      <c r="C28" s="255" t="s">
        <v>169</v>
      </c>
      <c r="D28" s="255"/>
      <c r="E28" s="102" t="s">
        <v>108</v>
      </c>
      <c r="F28" s="102" t="s">
        <v>108</v>
      </c>
      <c r="G28" s="102" t="s">
        <v>108</v>
      </c>
      <c r="H28" s="119">
        <f>H29+H30</f>
        <v>0</v>
      </c>
      <c r="I28" s="130"/>
      <c r="J28" s="119">
        <f>J29+J30</f>
        <v>0</v>
      </c>
      <c r="K28" s="120"/>
      <c r="L28" s="119">
        <f aca="true" t="shared" si="12" ref="L28:W28">L29+L30</f>
        <v>0</v>
      </c>
      <c r="M28" s="119">
        <f t="shared" si="12"/>
        <v>0</v>
      </c>
      <c r="N28" s="119">
        <f t="shared" si="12"/>
        <v>0</v>
      </c>
      <c r="O28" s="119">
        <f t="shared" si="12"/>
        <v>0</v>
      </c>
      <c r="P28" s="119">
        <f t="shared" si="12"/>
        <v>0</v>
      </c>
      <c r="Q28" s="119">
        <f t="shared" si="12"/>
        <v>0</v>
      </c>
      <c r="R28" s="119">
        <f t="shared" si="12"/>
        <v>0</v>
      </c>
      <c r="S28" s="119">
        <f t="shared" si="12"/>
        <v>0</v>
      </c>
      <c r="T28" s="119">
        <f t="shared" si="12"/>
        <v>0</v>
      </c>
      <c r="U28" s="119">
        <f t="shared" si="12"/>
        <v>0</v>
      </c>
      <c r="V28" s="119">
        <f t="shared" si="12"/>
        <v>0</v>
      </c>
      <c r="W28" s="119">
        <f t="shared" si="12"/>
        <v>0</v>
      </c>
      <c r="X28" s="103">
        <f t="shared" si="4"/>
        <v>0</v>
      </c>
      <c r="Y28" s="121"/>
    </row>
    <row r="29" spans="1:25" s="107" customFormat="1" ht="12.75" customHeight="1" hidden="1">
      <c r="A29" s="114"/>
      <c r="B29" s="133"/>
      <c r="C29" s="258" t="s">
        <v>150</v>
      </c>
      <c r="D29" s="258"/>
      <c r="E29" s="102" t="s">
        <v>108</v>
      </c>
      <c r="F29" s="102" t="s">
        <v>108</v>
      </c>
      <c r="G29" s="102" t="s">
        <v>108</v>
      </c>
      <c r="H29" s="103">
        <f>H33</f>
        <v>0</v>
      </c>
      <c r="I29" s="104"/>
      <c r="J29" s="103">
        <f>J33</f>
        <v>0</v>
      </c>
      <c r="K29" s="105"/>
      <c r="L29" s="103">
        <f aca="true" t="shared" si="13" ref="L29:W29">L33</f>
        <v>0</v>
      </c>
      <c r="M29" s="103">
        <f t="shared" si="13"/>
        <v>0</v>
      </c>
      <c r="N29" s="103">
        <f t="shared" si="13"/>
        <v>0</v>
      </c>
      <c r="O29" s="103">
        <f t="shared" si="13"/>
        <v>0</v>
      </c>
      <c r="P29" s="103">
        <f t="shared" si="13"/>
        <v>0</v>
      </c>
      <c r="Q29" s="103">
        <f t="shared" si="13"/>
        <v>0</v>
      </c>
      <c r="R29" s="103">
        <f t="shared" si="13"/>
        <v>0</v>
      </c>
      <c r="S29" s="103">
        <f t="shared" si="13"/>
        <v>0</v>
      </c>
      <c r="T29" s="103">
        <f t="shared" si="13"/>
        <v>0</v>
      </c>
      <c r="U29" s="103">
        <f t="shared" si="13"/>
        <v>0</v>
      </c>
      <c r="V29" s="103">
        <f t="shared" si="13"/>
        <v>0</v>
      </c>
      <c r="W29" s="103">
        <f t="shared" si="13"/>
        <v>0</v>
      </c>
      <c r="X29" s="103">
        <f t="shared" si="4"/>
        <v>0</v>
      </c>
      <c r="Y29" s="128"/>
    </row>
    <row r="30" spans="1:25" s="107" customFormat="1" ht="12.75" customHeight="1" hidden="1">
      <c r="A30" s="114"/>
      <c r="B30" s="133"/>
      <c r="C30" s="258" t="s">
        <v>151</v>
      </c>
      <c r="D30" s="258"/>
      <c r="E30" s="102" t="s">
        <v>108</v>
      </c>
      <c r="F30" s="102" t="s">
        <v>108</v>
      </c>
      <c r="G30" s="102" t="s">
        <v>108</v>
      </c>
      <c r="H30" s="103">
        <f>H34</f>
        <v>0</v>
      </c>
      <c r="I30" s="104"/>
      <c r="J30" s="103">
        <f>J34</f>
        <v>0</v>
      </c>
      <c r="K30" s="105"/>
      <c r="L30" s="103">
        <f aca="true" t="shared" si="14" ref="L30:W30">L34</f>
        <v>0</v>
      </c>
      <c r="M30" s="103">
        <f t="shared" si="14"/>
        <v>0</v>
      </c>
      <c r="N30" s="103">
        <f t="shared" si="14"/>
        <v>0</v>
      </c>
      <c r="O30" s="103">
        <f t="shared" si="14"/>
        <v>0</v>
      </c>
      <c r="P30" s="103">
        <f t="shared" si="14"/>
        <v>0</v>
      </c>
      <c r="Q30" s="103">
        <f t="shared" si="14"/>
        <v>0</v>
      </c>
      <c r="R30" s="103">
        <f t="shared" si="14"/>
        <v>0</v>
      </c>
      <c r="S30" s="103">
        <f t="shared" si="14"/>
        <v>0</v>
      </c>
      <c r="T30" s="103">
        <f t="shared" si="14"/>
        <v>0</v>
      </c>
      <c r="U30" s="103">
        <f t="shared" si="14"/>
        <v>0</v>
      </c>
      <c r="V30" s="103">
        <f t="shared" si="14"/>
        <v>0</v>
      </c>
      <c r="W30" s="103">
        <f t="shared" si="14"/>
        <v>0</v>
      </c>
      <c r="X30" s="103">
        <f t="shared" si="4"/>
        <v>0</v>
      </c>
      <c r="Y30" s="128"/>
    </row>
    <row r="31" spans="1:25" s="87" customFormat="1" ht="12.75" customHeight="1" hidden="1">
      <c r="A31" s="114"/>
      <c r="B31" s="133"/>
      <c r="C31" s="259" t="s">
        <v>155</v>
      </c>
      <c r="D31" s="259"/>
      <c r="E31" s="109"/>
      <c r="F31" s="109"/>
      <c r="G31" s="109"/>
      <c r="H31" s="109"/>
      <c r="I31" s="110"/>
      <c r="J31" s="109"/>
      <c r="K31" s="111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3">
        <f t="shared" si="4"/>
        <v>0</v>
      </c>
      <c r="Y31" s="113"/>
    </row>
    <row r="32" spans="1:25" ht="51" hidden="1">
      <c r="A32" s="114"/>
      <c r="B32" s="133"/>
      <c r="C32" s="115" t="s">
        <v>156</v>
      </c>
      <c r="D32" s="131" t="s">
        <v>170</v>
      </c>
      <c r="E32" s="134"/>
      <c r="F32" s="134"/>
      <c r="G32" s="134"/>
      <c r="H32" s="119">
        <f>H33+H34</f>
        <v>0</v>
      </c>
      <c r="I32" s="130"/>
      <c r="J32" s="119">
        <f>J33+J34</f>
        <v>0</v>
      </c>
      <c r="K32" s="120"/>
      <c r="L32" s="119">
        <f aca="true" t="shared" si="15" ref="L32:W32">L33+L34</f>
        <v>0</v>
      </c>
      <c r="M32" s="119">
        <f t="shared" si="15"/>
        <v>0</v>
      </c>
      <c r="N32" s="119">
        <f t="shared" si="15"/>
        <v>0</v>
      </c>
      <c r="O32" s="119">
        <f t="shared" si="15"/>
        <v>0</v>
      </c>
      <c r="P32" s="119">
        <f t="shared" si="15"/>
        <v>0</v>
      </c>
      <c r="Q32" s="119">
        <f t="shared" si="15"/>
        <v>0</v>
      </c>
      <c r="R32" s="119">
        <f t="shared" si="15"/>
        <v>0</v>
      </c>
      <c r="S32" s="119">
        <f t="shared" si="15"/>
        <v>0</v>
      </c>
      <c r="T32" s="119">
        <f t="shared" si="15"/>
        <v>0</v>
      </c>
      <c r="U32" s="119">
        <f t="shared" si="15"/>
        <v>0</v>
      </c>
      <c r="V32" s="119">
        <f t="shared" si="15"/>
        <v>0</v>
      </c>
      <c r="W32" s="119">
        <f t="shared" si="15"/>
        <v>0</v>
      </c>
      <c r="X32" s="103">
        <f t="shared" si="4"/>
        <v>0</v>
      </c>
      <c r="Y32" s="121"/>
    </row>
    <row r="33" spans="1:25" s="135" customFormat="1" ht="26.25" hidden="1">
      <c r="A33" s="114"/>
      <c r="B33" s="133"/>
      <c r="C33" s="123"/>
      <c r="D33" s="129" t="s">
        <v>150</v>
      </c>
      <c r="E33" s="124" t="s">
        <v>108</v>
      </c>
      <c r="F33" s="124" t="s">
        <v>108</v>
      </c>
      <c r="G33" s="124" t="s">
        <v>108</v>
      </c>
      <c r="H33" s="125">
        <f>SUM(J33:O33)</f>
        <v>0</v>
      </c>
      <c r="I33" s="126"/>
      <c r="J33" s="125"/>
      <c r="K33" s="127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03">
        <f t="shared" si="4"/>
        <v>0</v>
      </c>
      <c r="Y33" s="128"/>
    </row>
    <row r="34" spans="1:25" s="135" customFormat="1" ht="26.25" hidden="1">
      <c r="A34" s="114"/>
      <c r="B34" s="133"/>
      <c r="C34" s="123"/>
      <c r="D34" s="123" t="s">
        <v>159</v>
      </c>
      <c r="E34" s="124" t="s">
        <v>108</v>
      </c>
      <c r="F34" s="124" t="s">
        <v>108</v>
      </c>
      <c r="G34" s="124" t="s">
        <v>108</v>
      </c>
      <c r="H34" s="125">
        <f>SUM(J34:O34)</f>
        <v>0</v>
      </c>
      <c r="I34" s="126"/>
      <c r="J34" s="125"/>
      <c r="K34" s="127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03">
        <f t="shared" si="4"/>
        <v>0</v>
      </c>
      <c r="Y34" s="128"/>
    </row>
    <row r="35" spans="1:25" s="116" customFormat="1" ht="47.25" customHeight="1">
      <c r="A35" s="114"/>
      <c r="B35" s="256" t="s">
        <v>171</v>
      </c>
      <c r="C35" s="255" t="s">
        <v>172</v>
      </c>
      <c r="D35" s="255"/>
      <c r="E35" s="118" t="s">
        <v>162</v>
      </c>
      <c r="F35" s="102" t="s">
        <v>108</v>
      </c>
      <c r="G35" s="102" t="s">
        <v>108</v>
      </c>
      <c r="H35" s="119">
        <f>H36+H37</f>
        <v>23859340</v>
      </c>
      <c r="I35" s="104">
        <f>K35/J35*100</f>
        <v>0</v>
      </c>
      <c r="J35" s="119">
        <f>J36+J37</f>
        <v>4242750</v>
      </c>
      <c r="K35" s="120"/>
      <c r="L35" s="119">
        <f aca="true" t="shared" si="16" ref="L35:W35">L36+L37</f>
        <v>3091250</v>
      </c>
      <c r="M35" s="119">
        <f t="shared" si="16"/>
        <v>935000</v>
      </c>
      <c r="N35" s="119">
        <f t="shared" si="16"/>
        <v>8675000</v>
      </c>
      <c r="O35" s="119">
        <f t="shared" si="16"/>
        <v>6015340</v>
      </c>
      <c r="P35" s="119">
        <f t="shared" si="16"/>
        <v>500000</v>
      </c>
      <c r="Q35" s="119">
        <f t="shared" si="16"/>
        <v>400000</v>
      </c>
      <c r="R35" s="119">
        <f t="shared" si="16"/>
        <v>0</v>
      </c>
      <c r="S35" s="119">
        <f t="shared" si="16"/>
        <v>0</v>
      </c>
      <c r="T35" s="119">
        <f t="shared" si="16"/>
        <v>0</v>
      </c>
      <c r="U35" s="119">
        <f t="shared" si="16"/>
        <v>0</v>
      </c>
      <c r="V35" s="119">
        <f t="shared" si="16"/>
        <v>0</v>
      </c>
      <c r="W35" s="119">
        <f t="shared" si="16"/>
        <v>0</v>
      </c>
      <c r="X35" s="103">
        <f t="shared" si="4"/>
        <v>19616590</v>
      </c>
      <c r="Y35" s="121"/>
    </row>
    <row r="36" spans="1:25" s="136" customFormat="1" ht="30.75" customHeight="1">
      <c r="A36" s="114"/>
      <c r="B36" s="256"/>
      <c r="C36" s="258" t="s">
        <v>150</v>
      </c>
      <c r="D36" s="258"/>
      <c r="E36" s="102" t="s">
        <v>108</v>
      </c>
      <c r="F36" s="102" t="s">
        <v>108</v>
      </c>
      <c r="G36" s="102" t="s">
        <v>108</v>
      </c>
      <c r="H36" s="119">
        <f>'załcznika 2a'!H74</f>
        <v>0</v>
      </c>
      <c r="I36" s="104"/>
      <c r="J36" s="119">
        <f>'załcznika 2a'!J76</f>
        <v>0</v>
      </c>
      <c r="K36" s="120"/>
      <c r="L36" s="119">
        <f>'załcznika 2a'!L76</f>
        <v>0</v>
      </c>
      <c r="M36" s="119">
        <f>'załcznika 2a'!M76</f>
        <v>0</v>
      </c>
      <c r="N36" s="119">
        <f>'załcznika 2a'!N76</f>
        <v>0</v>
      </c>
      <c r="O36" s="119">
        <f>'załcznika 2a'!O76</f>
        <v>0</v>
      </c>
      <c r="P36" s="119">
        <f>'załcznika 2a'!P76</f>
        <v>0</v>
      </c>
      <c r="Q36" s="119">
        <f>'załcznika 2a'!Q76</f>
        <v>0</v>
      </c>
      <c r="R36" s="119">
        <f>'załcznika 2a'!R76</f>
        <v>0</v>
      </c>
      <c r="S36" s="119">
        <f>'załcznika 2a'!S76</f>
        <v>0</v>
      </c>
      <c r="T36" s="119">
        <f>'załcznika 2a'!T76</f>
        <v>0</v>
      </c>
      <c r="U36" s="119">
        <f>'załcznika 2a'!U76</f>
        <v>0</v>
      </c>
      <c r="V36" s="119">
        <f>'załcznika 2a'!V76</f>
        <v>0</v>
      </c>
      <c r="W36" s="119">
        <f>'załcznika 2a'!W76</f>
        <v>0</v>
      </c>
      <c r="X36" s="103">
        <f t="shared" si="4"/>
        <v>0</v>
      </c>
      <c r="Y36" s="121"/>
    </row>
    <row r="37" spans="1:25" s="136" customFormat="1" ht="30.75" customHeight="1">
      <c r="A37" s="114"/>
      <c r="B37" s="256"/>
      <c r="C37" s="258" t="s">
        <v>151</v>
      </c>
      <c r="D37" s="258"/>
      <c r="E37" s="102" t="s">
        <v>108</v>
      </c>
      <c r="F37" s="102" t="s">
        <v>108</v>
      </c>
      <c r="G37" s="102" t="s">
        <v>108</v>
      </c>
      <c r="H37" s="119">
        <f>'załcznika 2a'!H75</f>
        <v>23859340</v>
      </c>
      <c r="I37" s="104">
        <f>K37/J37*100</f>
        <v>0</v>
      </c>
      <c r="J37" s="119">
        <f>'załcznika 2a'!J77</f>
        <v>4242750</v>
      </c>
      <c r="K37" s="120"/>
      <c r="L37" s="119">
        <f>'załcznika 2a'!L77</f>
        <v>3091250</v>
      </c>
      <c r="M37" s="119">
        <f>'załcznika 2a'!M77</f>
        <v>935000</v>
      </c>
      <c r="N37" s="119">
        <f>'załcznika 2a'!N77</f>
        <v>8675000</v>
      </c>
      <c r="O37" s="119">
        <f>'załcznika 2a'!O77</f>
        <v>6015340</v>
      </c>
      <c r="P37" s="119">
        <f>'załcznika 2a'!P77</f>
        <v>500000</v>
      </c>
      <c r="Q37" s="119">
        <f>'załcznika 2a'!Q77</f>
        <v>400000</v>
      </c>
      <c r="R37" s="119">
        <f>'załcznika 2a'!R77</f>
        <v>0</v>
      </c>
      <c r="S37" s="119">
        <f>'załcznika 2a'!S77</f>
        <v>0</v>
      </c>
      <c r="T37" s="119">
        <f>'załcznika 2a'!T77</f>
        <v>0</v>
      </c>
      <c r="U37" s="119">
        <f>'załcznika 2a'!U77</f>
        <v>0</v>
      </c>
      <c r="V37" s="119">
        <f>'załcznika 2a'!V77</f>
        <v>0</v>
      </c>
      <c r="W37" s="119">
        <f>'załcznika 2a'!W77</f>
        <v>0</v>
      </c>
      <c r="X37" s="103">
        <f t="shared" si="4"/>
        <v>19616590</v>
      </c>
      <c r="Y37" s="121"/>
    </row>
    <row r="38" spans="1:25" ht="30.75" customHeight="1">
      <c r="A38" s="114"/>
      <c r="B38" s="256"/>
      <c r="C38" s="259" t="s">
        <v>155</v>
      </c>
      <c r="D38" s="259"/>
      <c r="E38" s="109"/>
      <c r="F38" s="109"/>
      <c r="G38" s="109"/>
      <c r="H38" s="109"/>
      <c r="I38" s="110"/>
      <c r="J38" s="109"/>
      <c r="K38" s="111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3">
        <f t="shared" si="4"/>
        <v>0</v>
      </c>
      <c r="Y38" s="113"/>
    </row>
    <row r="39" spans="1:25" s="137" customFormat="1" ht="131.25" customHeight="1">
      <c r="A39" s="114"/>
      <c r="B39" s="256" t="s">
        <v>173</v>
      </c>
      <c r="C39" s="255" t="s">
        <v>174</v>
      </c>
      <c r="D39" s="255"/>
      <c r="E39" s="118" t="s">
        <v>162</v>
      </c>
      <c r="F39" s="102" t="s">
        <v>108</v>
      </c>
      <c r="G39" s="102" t="s">
        <v>108</v>
      </c>
      <c r="H39" s="119">
        <f>H40+H41</f>
        <v>21972004.3697824</v>
      </c>
      <c r="I39" s="104">
        <f>K39/J39*100</f>
        <v>0</v>
      </c>
      <c r="J39" s="119">
        <f>J40+J41</f>
        <v>1387928</v>
      </c>
      <c r="K39" s="120"/>
      <c r="L39" s="119">
        <f aca="true" t="shared" si="17" ref="L39:W39">L40+L41</f>
        <v>1500941</v>
      </c>
      <c r="M39" s="119">
        <f t="shared" si="17"/>
        <v>1538188.5</v>
      </c>
      <c r="N39" s="119">
        <f t="shared" si="17"/>
        <v>1567326.1875</v>
      </c>
      <c r="O39" s="119">
        <f t="shared" si="17"/>
        <v>1606459.3421875</v>
      </c>
      <c r="P39" s="119">
        <f t="shared" si="17"/>
        <v>1646570.8257421877</v>
      </c>
      <c r="Q39" s="119">
        <f t="shared" si="17"/>
        <v>1687685.0963857423</v>
      </c>
      <c r="R39" s="119">
        <f t="shared" si="17"/>
        <v>1727827.2237953856</v>
      </c>
      <c r="S39" s="119">
        <f t="shared" si="17"/>
        <v>1771022.9043902704</v>
      </c>
      <c r="T39" s="119">
        <f t="shared" si="17"/>
        <v>1815298.477000027</v>
      </c>
      <c r="U39" s="119">
        <f t="shared" si="17"/>
        <v>1860680.9389250278</v>
      </c>
      <c r="V39" s="119">
        <f t="shared" si="17"/>
        <v>1907197.9623981533</v>
      </c>
      <c r="W39" s="119">
        <f t="shared" si="17"/>
        <v>1954877.9114581072</v>
      </c>
      <c r="X39" s="103">
        <f t="shared" si="4"/>
        <v>20584076.369782403</v>
      </c>
      <c r="Y39" s="121"/>
    </row>
    <row r="40" spans="1:25" s="135" customFormat="1" ht="30.75" customHeight="1">
      <c r="A40" s="114"/>
      <c r="B40" s="256"/>
      <c r="C40" s="257" t="s">
        <v>175</v>
      </c>
      <c r="D40" s="257"/>
      <c r="E40" s="138" t="s">
        <v>108</v>
      </c>
      <c r="F40" s="138" t="s">
        <v>108</v>
      </c>
      <c r="G40" s="138" t="s">
        <v>108</v>
      </c>
      <c r="H40" s="139">
        <f>'załcznika 2a'!H116</f>
        <v>21972004.3697824</v>
      </c>
      <c r="I40" s="139">
        <f>'załcznika 2a'!I116</f>
        <v>49.13375837939721</v>
      </c>
      <c r="J40" s="139">
        <f>'załcznika 2a'!J116</f>
        <v>1387928</v>
      </c>
      <c r="K40" s="139">
        <f>'załcznika 2a'!K116</f>
        <v>681941.1900000001</v>
      </c>
      <c r="L40" s="139">
        <f>'załcznika 2a'!L116</f>
        <v>1500941</v>
      </c>
      <c r="M40" s="139">
        <f>'załcznika 2a'!M116</f>
        <v>1538188.5</v>
      </c>
      <c r="N40" s="139">
        <f>'załcznika 2a'!N116</f>
        <v>1567326.1875</v>
      </c>
      <c r="O40" s="139">
        <f>'załcznika 2a'!O116</f>
        <v>1606459.3421875</v>
      </c>
      <c r="P40" s="139">
        <f>'załcznika 2a'!P116</f>
        <v>1646570.8257421877</v>
      </c>
      <c r="Q40" s="139">
        <f>'załcznika 2a'!Q116</f>
        <v>1687685.0963857423</v>
      </c>
      <c r="R40" s="139">
        <f>'załcznika 2a'!R116</f>
        <v>1727827.2237953856</v>
      </c>
      <c r="S40" s="139">
        <f>'załcznika 2a'!S116</f>
        <v>1771022.9043902704</v>
      </c>
      <c r="T40" s="139">
        <f>'załcznika 2a'!T116</f>
        <v>1815298.477000027</v>
      </c>
      <c r="U40" s="139">
        <f>'załcznika 2a'!U116</f>
        <v>1860680.9389250278</v>
      </c>
      <c r="V40" s="139">
        <f>'załcznika 2a'!V116</f>
        <v>1907197.9623981533</v>
      </c>
      <c r="W40" s="139">
        <f>'załcznika 2a'!W116</f>
        <v>1954877.9114581072</v>
      </c>
      <c r="X40" s="112">
        <f t="shared" si="4"/>
        <v>20584076.369782403</v>
      </c>
      <c r="Y40" s="140"/>
    </row>
    <row r="41" spans="1:25" s="135" customFormat="1" ht="30.75" customHeight="1">
      <c r="A41" s="114"/>
      <c r="B41" s="256"/>
      <c r="C41" s="257" t="s">
        <v>151</v>
      </c>
      <c r="D41" s="257"/>
      <c r="E41" s="138" t="s">
        <v>108</v>
      </c>
      <c r="F41" s="138" t="s">
        <v>108</v>
      </c>
      <c r="G41" s="138" t="s">
        <v>108</v>
      </c>
      <c r="H41" s="139">
        <f>'załcznika 2a'!H117</f>
        <v>0</v>
      </c>
      <c r="I41" s="139">
        <f>'załcznika 2a'!I117</f>
        <v>0</v>
      </c>
      <c r="J41" s="139">
        <f>'załcznika 2a'!J117</f>
        <v>0</v>
      </c>
      <c r="K41" s="139">
        <f>'załcznika 2a'!K117</f>
        <v>0</v>
      </c>
      <c r="L41" s="139">
        <f>'załcznika 2a'!L117</f>
        <v>0</v>
      </c>
      <c r="M41" s="139">
        <f>'załcznika 2a'!M117</f>
        <v>0</v>
      </c>
      <c r="N41" s="139">
        <f>'załcznika 2a'!N117</f>
        <v>0</v>
      </c>
      <c r="O41" s="139">
        <f>'załcznika 2a'!O117</f>
        <v>0</v>
      </c>
      <c r="P41" s="139">
        <f>'załcznika 2a'!P117</f>
        <v>0</v>
      </c>
      <c r="Q41" s="139">
        <f>'załcznika 2a'!Q117</f>
        <v>0</v>
      </c>
      <c r="R41" s="139">
        <f>'załcznika 2a'!R117</f>
        <v>0</v>
      </c>
      <c r="S41" s="139">
        <f>'załcznika 2a'!S117</f>
        <v>0</v>
      </c>
      <c r="T41" s="139">
        <f>'załcznika 2a'!T117</f>
        <v>0</v>
      </c>
      <c r="U41" s="139">
        <f>'załcznika 2a'!U117</f>
        <v>0</v>
      </c>
      <c r="V41" s="139">
        <f>'załcznika 2a'!V117</f>
        <v>0</v>
      </c>
      <c r="W41" s="139">
        <f>'załcznika 2a'!W117</f>
        <v>0</v>
      </c>
      <c r="X41" s="103">
        <f t="shared" si="4"/>
        <v>0</v>
      </c>
      <c r="Y41" s="140"/>
    </row>
    <row r="42" spans="1:25" s="143" customFormat="1" ht="47.25" customHeight="1">
      <c r="A42" s="114"/>
      <c r="B42" s="115" t="s">
        <v>176</v>
      </c>
      <c r="C42" s="255" t="s">
        <v>177</v>
      </c>
      <c r="D42" s="255"/>
      <c r="E42" s="118" t="s">
        <v>162</v>
      </c>
      <c r="F42" s="141" t="s">
        <v>108</v>
      </c>
      <c r="G42" s="141" t="s">
        <v>108</v>
      </c>
      <c r="H42" s="119">
        <f>'załcznika 2a'!H140</f>
        <v>4195264</v>
      </c>
      <c r="I42" s="130">
        <f>'załcznika 2a'!I140</f>
        <v>0</v>
      </c>
      <c r="J42" s="119">
        <f>'załcznika 2a'!J140</f>
        <v>23600</v>
      </c>
      <c r="K42" s="120"/>
      <c r="L42" s="119">
        <f>'załcznika 2a'!L140</f>
        <v>313255</v>
      </c>
      <c r="M42" s="119">
        <f>'załcznika 2a'!M140</f>
        <v>591678</v>
      </c>
      <c r="N42" s="119">
        <f>'załcznika 2a'!N140</f>
        <v>573920</v>
      </c>
      <c r="O42" s="119">
        <f>'załcznika 2a'!O140</f>
        <v>528234</v>
      </c>
      <c r="P42" s="119">
        <f>'załcznika 2a'!P140</f>
        <v>338528</v>
      </c>
      <c r="Q42" s="119">
        <f>'załcznika 2a'!Q140</f>
        <v>328746</v>
      </c>
      <c r="R42" s="119">
        <f>'załcznika 2a'!R140</f>
        <v>318985</v>
      </c>
      <c r="S42" s="119">
        <f>'załcznika 2a'!S140</f>
        <v>309224</v>
      </c>
      <c r="T42" s="119">
        <f>'załcznika 2a'!T140</f>
        <v>299461</v>
      </c>
      <c r="U42" s="119">
        <f>'załcznika 2a'!U140</f>
        <v>289699</v>
      </c>
      <c r="V42" s="119">
        <f>'załcznika 2a'!V140</f>
        <v>279934</v>
      </c>
      <c r="W42" s="119">
        <f>'załcznika 2a'!W140</f>
        <v>0</v>
      </c>
      <c r="X42" s="103">
        <f t="shared" si="4"/>
        <v>4171664</v>
      </c>
      <c r="Y42" s="142"/>
    </row>
    <row r="43" spans="5:25" ht="15">
      <c r="E43" s="91"/>
      <c r="F43" s="91"/>
      <c r="G43" s="91"/>
      <c r="H43" s="144"/>
      <c r="I43" s="145"/>
      <c r="J43" s="146"/>
      <c r="K43" s="147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</row>
    <row r="44" spans="5:7" ht="15">
      <c r="E44" s="91"/>
      <c r="F44" s="91"/>
      <c r="G44" s="91"/>
    </row>
    <row r="45" spans="5:7" ht="15">
      <c r="E45" s="91"/>
      <c r="F45" s="91"/>
      <c r="G45" s="91"/>
    </row>
    <row r="46" spans="5:7" ht="15">
      <c r="E46" s="91"/>
      <c r="F46" s="91"/>
      <c r="G46" s="91"/>
    </row>
    <row r="47" spans="5:7" ht="15">
      <c r="E47" s="91"/>
      <c r="F47" s="91"/>
      <c r="G47" s="91"/>
    </row>
    <row r="48" spans="5:7" ht="15">
      <c r="E48" s="91"/>
      <c r="F48" s="91"/>
      <c r="G48" s="91"/>
    </row>
    <row r="49" spans="5:7" ht="15">
      <c r="E49" s="91"/>
      <c r="F49" s="91"/>
      <c r="G49" s="91"/>
    </row>
    <row r="50" spans="5:7" ht="15">
      <c r="E50" s="91"/>
      <c r="F50" s="91"/>
      <c r="G50" s="91"/>
    </row>
    <row r="51" spans="5:7" ht="15">
      <c r="E51" s="91"/>
      <c r="F51" s="91"/>
      <c r="G51" s="91"/>
    </row>
  </sheetData>
  <mergeCells count="44">
    <mergeCell ref="J3:J4"/>
    <mergeCell ref="L3:L4"/>
    <mergeCell ref="O3:O4"/>
    <mergeCell ref="P3:P4"/>
    <mergeCell ref="A1:X1"/>
    <mergeCell ref="A2:A4"/>
    <mergeCell ref="B2:D4"/>
    <mergeCell ref="E2:E4"/>
    <mergeCell ref="F2:G3"/>
    <mergeCell ref="H2:H4"/>
    <mergeCell ref="I2:W2"/>
    <mergeCell ref="X2:X4"/>
    <mergeCell ref="U3:U4"/>
    <mergeCell ref="V3:V4"/>
    <mergeCell ref="W3:W4"/>
    <mergeCell ref="B5:D5"/>
    <mergeCell ref="Q3:Q4"/>
    <mergeCell ref="R3:R4"/>
    <mergeCell ref="S3:S4"/>
    <mergeCell ref="T3:T4"/>
    <mergeCell ref="M3:M4"/>
    <mergeCell ref="N3:N4"/>
    <mergeCell ref="B6:D6"/>
    <mergeCell ref="B7:D7"/>
    <mergeCell ref="B8:D8"/>
    <mergeCell ref="B9:B27"/>
    <mergeCell ref="C9:D9"/>
    <mergeCell ref="C10:D10"/>
    <mergeCell ref="C11:D11"/>
    <mergeCell ref="C12:D12"/>
    <mergeCell ref="C28:D28"/>
    <mergeCell ref="C29:D29"/>
    <mergeCell ref="C30:D30"/>
    <mergeCell ref="C31:D31"/>
    <mergeCell ref="B35:B38"/>
    <mergeCell ref="C35:D35"/>
    <mergeCell ref="C36:D36"/>
    <mergeCell ref="C37:D37"/>
    <mergeCell ref="C38:D38"/>
    <mergeCell ref="C42:D42"/>
    <mergeCell ref="B39:B41"/>
    <mergeCell ref="C39:D39"/>
    <mergeCell ref="C40:D40"/>
    <mergeCell ref="C41:D41"/>
  </mergeCells>
  <printOptions horizontalCentered="1"/>
  <pageMargins left="0.5902777777777778" right="0.5902777777777778" top="0.98125" bottom="0.875" header="0.5902777777777778" footer="0.5902777777777778"/>
  <pageSetup horizontalDpi="300" verticalDpi="300" orientation="landscape" paperSize="9" scale="32" r:id="rId1"/>
  <headerFooter alignWithMargins="0">
    <oddHeader>&amp;R&amp;"Times New Roman,Normalny"&amp;14Załącznik nr 2 &amp;12 do Uchwały Nr XXI/274/2012  z dnia 29 marca  2012 w sprawie  wieloletniej prognozy finansowej Gminy</oddHeader>
    <oddFooter>&amp;C&amp;"Times New Roman,Normalny"&amp;12Strona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49"/>
  <sheetViews>
    <sheetView view="pageBreakPreview" zoomScale="50" zoomScaleSheetLayoutView="50" workbookViewId="0" topLeftCell="E1">
      <pane ySplit="4" topLeftCell="BM88" activePane="bottomLeft" state="frozen"/>
      <selection pane="topLeft" activeCell="E1" sqref="E1"/>
      <selection pane="bottomLeft" activeCell="K91" sqref="K91"/>
    </sheetView>
  </sheetViews>
  <sheetFormatPr defaultColWidth="8.796875" defaultRowHeight="14.25"/>
  <cols>
    <col min="1" max="1" width="6" style="87" customWidth="1"/>
    <col min="2" max="2" width="5" style="87" customWidth="1"/>
    <col min="3" max="3" width="9.3984375" style="87" customWidth="1"/>
    <col min="4" max="4" width="86" style="122" customWidth="1"/>
    <col min="5" max="5" width="25.5" style="88" customWidth="1"/>
    <col min="6" max="6" width="15.19921875" style="88" customWidth="1"/>
    <col min="7" max="7" width="15" style="88" customWidth="1"/>
    <col min="8" max="8" width="24.69921875" style="89" customWidth="1"/>
    <col min="9" max="9" width="0" style="90" hidden="1" customWidth="1"/>
    <col min="10" max="10" width="0" style="91" hidden="1" customWidth="1"/>
    <col min="11" max="11" width="0" style="148" hidden="1" customWidth="1"/>
    <col min="12" max="12" width="24" style="91" customWidth="1"/>
    <col min="13" max="13" width="25.09765625" style="91" customWidth="1"/>
    <col min="14" max="14" width="27.5" style="91" customWidth="1"/>
    <col min="15" max="15" width="25.69921875" style="91" customWidth="1"/>
    <col min="16" max="16" width="24" style="91" customWidth="1"/>
    <col min="17" max="17" width="21.5" style="91" customWidth="1"/>
    <col min="18" max="18" width="20.5" style="91" customWidth="1"/>
    <col min="19" max="19" width="21" style="91" customWidth="1"/>
    <col min="20" max="20" width="21.19921875" style="91" customWidth="1"/>
    <col min="21" max="21" width="18.5" style="91" customWidth="1"/>
    <col min="22" max="22" width="19.69921875" style="91" customWidth="1"/>
    <col min="23" max="23" width="0" style="91" hidden="1" customWidth="1"/>
    <col min="24" max="24" width="21.5" style="91" customWidth="1"/>
    <col min="25" max="25" width="9" style="91" customWidth="1"/>
    <col min="26" max="16384" width="9" style="88" customWidth="1"/>
  </cols>
  <sheetData>
    <row r="1" spans="1:25" s="150" customFormat="1" ht="69" customHeight="1">
      <c r="A1" s="268" t="s">
        <v>178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149"/>
    </row>
    <row r="2" spans="1:25" s="154" customFormat="1" ht="38.25" customHeight="1">
      <c r="A2" s="269" t="s">
        <v>2</v>
      </c>
      <c r="B2" s="269" t="s">
        <v>3</v>
      </c>
      <c r="C2" s="269"/>
      <c r="D2" s="269"/>
      <c r="E2" s="269" t="s">
        <v>141</v>
      </c>
      <c r="F2" s="269" t="s">
        <v>142</v>
      </c>
      <c r="G2" s="269"/>
      <c r="H2" s="269" t="s">
        <v>143</v>
      </c>
      <c r="I2" s="266" t="s">
        <v>144</v>
      </c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9" t="s">
        <v>145</v>
      </c>
      <c r="Y2" s="153"/>
    </row>
    <row r="3" spans="1:25" s="156" customFormat="1" ht="37.5" customHeight="1">
      <c r="A3" s="269"/>
      <c r="B3" s="269"/>
      <c r="C3" s="269"/>
      <c r="D3" s="269"/>
      <c r="E3" s="269"/>
      <c r="F3" s="269"/>
      <c r="G3" s="269"/>
      <c r="H3" s="269"/>
      <c r="I3" s="270" t="s">
        <v>12</v>
      </c>
      <c r="J3" s="270"/>
      <c r="K3" s="270"/>
      <c r="L3" s="266" t="s">
        <v>146</v>
      </c>
      <c r="M3" s="266" t="s">
        <v>13</v>
      </c>
      <c r="N3" s="266" t="s">
        <v>14</v>
      </c>
      <c r="O3" s="266" t="s">
        <v>15</v>
      </c>
      <c r="P3" s="266" t="s">
        <v>16</v>
      </c>
      <c r="Q3" s="266" t="s">
        <v>17</v>
      </c>
      <c r="R3" s="266" t="s">
        <v>18</v>
      </c>
      <c r="S3" s="266" t="s">
        <v>19</v>
      </c>
      <c r="T3" s="266" t="s">
        <v>20</v>
      </c>
      <c r="U3" s="266" t="s">
        <v>21</v>
      </c>
      <c r="V3" s="266" t="s">
        <v>22</v>
      </c>
      <c r="W3" s="266" t="s">
        <v>23</v>
      </c>
      <c r="X3" s="269"/>
      <c r="Y3" s="155"/>
    </row>
    <row r="4" spans="1:25" s="156" customFormat="1" ht="36" customHeight="1">
      <c r="A4" s="269"/>
      <c r="B4" s="269"/>
      <c r="C4" s="269"/>
      <c r="D4" s="269"/>
      <c r="E4" s="269"/>
      <c r="F4" s="152" t="s">
        <v>147</v>
      </c>
      <c r="G4" s="152" t="s">
        <v>148</v>
      </c>
      <c r="H4" s="269"/>
      <c r="I4" s="270"/>
      <c r="J4" s="270"/>
      <c r="K4" s="270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9"/>
      <c r="Y4" s="155"/>
    </row>
    <row r="5" spans="1:25" s="161" customFormat="1" ht="17.25" customHeight="1">
      <c r="A5" s="157">
        <v>1</v>
      </c>
      <c r="B5" s="267">
        <v>2</v>
      </c>
      <c r="C5" s="267"/>
      <c r="D5" s="267"/>
      <c r="E5" s="157">
        <v>3</v>
      </c>
      <c r="F5" s="157">
        <v>4</v>
      </c>
      <c r="G5" s="157">
        <v>5</v>
      </c>
      <c r="H5" s="157">
        <v>6</v>
      </c>
      <c r="I5" s="158"/>
      <c r="J5" s="157">
        <v>7</v>
      </c>
      <c r="K5" s="159"/>
      <c r="L5" s="157">
        <v>8</v>
      </c>
      <c r="M5" s="157">
        <v>9</v>
      </c>
      <c r="N5" s="157">
        <v>10</v>
      </c>
      <c r="O5" s="157">
        <v>11</v>
      </c>
      <c r="P5" s="157">
        <v>12</v>
      </c>
      <c r="Q5" s="157">
        <v>13</v>
      </c>
      <c r="R5" s="157">
        <v>14</v>
      </c>
      <c r="S5" s="157">
        <v>15</v>
      </c>
      <c r="T5" s="157">
        <v>16</v>
      </c>
      <c r="U5" s="157">
        <v>17</v>
      </c>
      <c r="V5" s="157">
        <v>18</v>
      </c>
      <c r="W5" s="157">
        <v>19</v>
      </c>
      <c r="X5" s="157">
        <v>20</v>
      </c>
      <c r="Y5" s="160"/>
    </row>
    <row r="6" spans="1:25" s="169" customFormat="1" ht="45.75" customHeight="1">
      <c r="A6" s="162" t="s">
        <v>24</v>
      </c>
      <c r="B6" s="264" t="s">
        <v>149</v>
      </c>
      <c r="C6" s="264"/>
      <c r="D6" s="264"/>
      <c r="E6" s="152" t="s">
        <v>108</v>
      </c>
      <c r="F6" s="152" t="s">
        <v>108</v>
      </c>
      <c r="G6" s="152" t="s">
        <v>108</v>
      </c>
      <c r="H6" s="164">
        <f aca="true" t="shared" si="0" ref="H6:H12">SUM(J6:W6)-K6</f>
        <v>65052532.19478239</v>
      </c>
      <c r="I6" s="165">
        <f>K6/J6*100</f>
        <v>11.742424908018771</v>
      </c>
      <c r="J6" s="166">
        <f aca="true" t="shared" si="1" ref="J6:X6">J7+J8</f>
        <v>7125095</v>
      </c>
      <c r="K6" s="167">
        <f t="shared" si="1"/>
        <v>836658.93</v>
      </c>
      <c r="L6" s="166">
        <f t="shared" si="1"/>
        <v>7638919</v>
      </c>
      <c r="M6" s="166">
        <f t="shared" si="1"/>
        <v>9256856.325</v>
      </c>
      <c r="N6" s="166">
        <f t="shared" si="1"/>
        <v>13635890.1875</v>
      </c>
      <c r="O6" s="166">
        <f t="shared" si="1"/>
        <v>9460033.3421875</v>
      </c>
      <c r="P6" s="166">
        <f t="shared" si="1"/>
        <v>2985098.825742188</v>
      </c>
      <c r="Q6" s="166">
        <f t="shared" si="1"/>
        <v>2416431.0963857425</v>
      </c>
      <c r="R6" s="166">
        <f t="shared" si="1"/>
        <v>2046812.2237953856</v>
      </c>
      <c r="S6" s="166">
        <f t="shared" si="1"/>
        <v>2080246.9043902704</v>
      </c>
      <c r="T6" s="166">
        <f t="shared" si="1"/>
        <v>2114759.477000027</v>
      </c>
      <c r="U6" s="166">
        <f t="shared" si="1"/>
        <v>2150379.938925028</v>
      </c>
      <c r="V6" s="166">
        <f t="shared" si="1"/>
        <v>2187131.9623981533</v>
      </c>
      <c r="W6" s="166">
        <f t="shared" si="1"/>
        <v>1954877.9114581072</v>
      </c>
      <c r="X6" s="166">
        <f t="shared" si="1"/>
        <v>57927437.194782406</v>
      </c>
      <c r="Y6" s="168"/>
    </row>
    <row r="7" spans="1:25" s="169" customFormat="1" ht="30.75" customHeight="1">
      <c r="A7" s="162" t="s">
        <v>26</v>
      </c>
      <c r="B7" s="264" t="s">
        <v>150</v>
      </c>
      <c r="C7" s="264"/>
      <c r="D7" s="264"/>
      <c r="E7" s="152" t="s">
        <v>108</v>
      </c>
      <c r="F7" s="152" t="s">
        <v>108</v>
      </c>
      <c r="G7" s="152" t="s">
        <v>108</v>
      </c>
      <c r="H7" s="164">
        <f t="shared" si="0"/>
        <v>26832876.194782402</v>
      </c>
      <c r="I7" s="165">
        <f>K7/J7*100</f>
        <v>47.50447032290351</v>
      </c>
      <c r="J7" s="166">
        <f aca="true" t="shared" si="2" ref="J7:X7">J11+J69+J76+J116+J140</f>
        <v>1624603</v>
      </c>
      <c r="K7" s="167">
        <f t="shared" si="2"/>
        <v>771759.05</v>
      </c>
      <c r="L7" s="166">
        <f t="shared" si="2"/>
        <v>2037669</v>
      </c>
      <c r="M7" s="166">
        <f t="shared" si="2"/>
        <v>2358926.325</v>
      </c>
      <c r="N7" s="166">
        <f t="shared" si="2"/>
        <v>2141246.1875</v>
      </c>
      <c r="O7" s="166">
        <f t="shared" si="2"/>
        <v>2134693.3421875</v>
      </c>
      <c r="P7" s="166">
        <f t="shared" si="2"/>
        <v>1985098.8257421877</v>
      </c>
      <c r="Q7" s="166">
        <f t="shared" si="2"/>
        <v>2016431.0963857423</v>
      </c>
      <c r="R7" s="166">
        <f t="shared" si="2"/>
        <v>2046812.2237953856</v>
      </c>
      <c r="S7" s="166">
        <f t="shared" si="2"/>
        <v>2080246.9043902704</v>
      </c>
      <c r="T7" s="166">
        <f t="shared" si="2"/>
        <v>2114759.477000027</v>
      </c>
      <c r="U7" s="166">
        <f t="shared" si="2"/>
        <v>2150379.938925028</v>
      </c>
      <c r="V7" s="166">
        <f t="shared" si="2"/>
        <v>2187131.9623981533</v>
      </c>
      <c r="W7" s="166">
        <f t="shared" si="2"/>
        <v>1954877.9114581072</v>
      </c>
      <c r="X7" s="166">
        <f t="shared" si="2"/>
        <v>25208273.194782402</v>
      </c>
      <c r="Y7" s="168"/>
    </row>
    <row r="8" spans="1:25" s="169" customFormat="1" ht="30.75" customHeight="1">
      <c r="A8" s="162" t="s">
        <v>28</v>
      </c>
      <c r="B8" s="264" t="s">
        <v>151</v>
      </c>
      <c r="C8" s="264"/>
      <c r="D8" s="264"/>
      <c r="E8" s="152" t="s">
        <v>108</v>
      </c>
      <c r="F8" s="152" t="s">
        <v>108</v>
      </c>
      <c r="G8" s="152" t="s">
        <v>108</v>
      </c>
      <c r="H8" s="164">
        <f t="shared" si="0"/>
        <v>38219655.99999999</v>
      </c>
      <c r="I8" s="165">
        <f>K8/J8*100</f>
        <v>1.17989227145499</v>
      </c>
      <c r="J8" s="166">
        <f aca="true" t="shared" si="3" ref="J8:X8">J12+J70+J77+J117</f>
        <v>5500492</v>
      </c>
      <c r="K8" s="167">
        <f t="shared" si="3"/>
        <v>64899.880000000005</v>
      </c>
      <c r="L8" s="166">
        <f t="shared" si="3"/>
        <v>5601250</v>
      </c>
      <c r="M8" s="166">
        <f t="shared" si="3"/>
        <v>6897930</v>
      </c>
      <c r="N8" s="166">
        <f t="shared" si="3"/>
        <v>11494644</v>
      </c>
      <c r="O8" s="166">
        <f t="shared" si="3"/>
        <v>7325340</v>
      </c>
      <c r="P8" s="166">
        <f t="shared" si="3"/>
        <v>1000000</v>
      </c>
      <c r="Q8" s="166">
        <f t="shared" si="3"/>
        <v>400000</v>
      </c>
      <c r="R8" s="166">
        <f t="shared" si="3"/>
        <v>0</v>
      </c>
      <c r="S8" s="166">
        <f t="shared" si="3"/>
        <v>0</v>
      </c>
      <c r="T8" s="166">
        <f t="shared" si="3"/>
        <v>0</v>
      </c>
      <c r="U8" s="166">
        <f t="shared" si="3"/>
        <v>0</v>
      </c>
      <c r="V8" s="166">
        <f t="shared" si="3"/>
        <v>0</v>
      </c>
      <c r="W8" s="166">
        <f t="shared" si="3"/>
        <v>0</v>
      </c>
      <c r="X8" s="166">
        <f t="shared" si="3"/>
        <v>32719164</v>
      </c>
      <c r="Y8" s="168"/>
    </row>
    <row r="9" spans="1:25" s="175" customFormat="1" ht="19.5" customHeight="1">
      <c r="A9" s="170"/>
      <c r="B9" s="265" t="s">
        <v>152</v>
      </c>
      <c r="C9" s="265"/>
      <c r="D9" s="265"/>
      <c r="E9" s="171"/>
      <c r="F9" s="171"/>
      <c r="G9" s="171"/>
      <c r="H9" s="164">
        <f t="shared" si="0"/>
        <v>0</v>
      </c>
      <c r="I9" s="165"/>
      <c r="J9" s="171"/>
      <c r="K9" s="172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3">
        <f>SUM(J9:W9)</f>
        <v>0</v>
      </c>
      <c r="Y9" s="174"/>
    </row>
    <row r="10" spans="1:25" s="178" customFormat="1" ht="77.25" customHeight="1">
      <c r="A10" s="176"/>
      <c r="B10" s="177" t="s">
        <v>153</v>
      </c>
      <c r="C10" s="264" t="s">
        <v>154</v>
      </c>
      <c r="D10" s="264"/>
      <c r="E10" s="152" t="s">
        <v>108</v>
      </c>
      <c r="F10" s="152" t="s">
        <v>108</v>
      </c>
      <c r="G10" s="152" t="s">
        <v>108</v>
      </c>
      <c r="H10" s="164">
        <f t="shared" si="0"/>
        <v>15025923.825000001</v>
      </c>
      <c r="I10" s="165">
        <f>K10/J10*100</f>
        <v>7.020015406403381</v>
      </c>
      <c r="J10" s="166">
        <f aca="true" t="shared" si="4" ref="J10:X10">J11+J12</f>
        <v>1470817</v>
      </c>
      <c r="K10" s="167">
        <f t="shared" si="4"/>
        <v>103251.58</v>
      </c>
      <c r="L10" s="166">
        <f t="shared" si="4"/>
        <v>2733473</v>
      </c>
      <c r="M10" s="166">
        <f t="shared" si="4"/>
        <v>6191989.825</v>
      </c>
      <c r="N10" s="166">
        <f t="shared" si="4"/>
        <v>2819644</v>
      </c>
      <c r="O10" s="166">
        <f t="shared" si="4"/>
        <v>1310000</v>
      </c>
      <c r="P10" s="166">
        <f t="shared" si="4"/>
        <v>500000</v>
      </c>
      <c r="Q10" s="166">
        <f t="shared" si="4"/>
        <v>0</v>
      </c>
      <c r="R10" s="166">
        <f t="shared" si="4"/>
        <v>0</v>
      </c>
      <c r="S10" s="166">
        <f t="shared" si="4"/>
        <v>0</v>
      </c>
      <c r="T10" s="166">
        <f t="shared" si="4"/>
        <v>0</v>
      </c>
      <c r="U10" s="166">
        <f t="shared" si="4"/>
        <v>0</v>
      </c>
      <c r="V10" s="166">
        <f t="shared" si="4"/>
        <v>0</v>
      </c>
      <c r="W10" s="166">
        <f t="shared" si="4"/>
        <v>0</v>
      </c>
      <c r="X10" s="166">
        <f t="shared" si="4"/>
        <v>13555106.825</v>
      </c>
      <c r="Y10" s="168"/>
    </row>
    <row r="11" spans="1:25" s="169" customFormat="1" ht="30.75" customHeight="1">
      <c r="A11" s="179"/>
      <c r="B11" s="180"/>
      <c r="C11" s="264" t="s">
        <v>150</v>
      </c>
      <c r="D11" s="264"/>
      <c r="E11" s="152" t="s">
        <v>108</v>
      </c>
      <c r="F11" s="152" t="s">
        <v>108</v>
      </c>
      <c r="G11" s="152" t="s">
        <v>108</v>
      </c>
      <c r="H11" s="164">
        <f t="shared" si="0"/>
        <v>665607.8250000001</v>
      </c>
      <c r="I11" s="165">
        <f>K11/J11*100</f>
        <v>42.15316672533146</v>
      </c>
      <c r="J11" s="166">
        <f aca="true" t="shared" si="5" ref="J11:X11">J15+J18+J66+J63+J48</f>
        <v>213075</v>
      </c>
      <c r="K11" s="167">
        <f t="shared" si="5"/>
        <v>89817.86</v>
      </c>
      <c r="L11" s="166">
        <f t="shared" si="5"/>
        <v>223473</v>
      </c>
      <c r="M11" s="166">
        <f t="shared" si="5"/>
        <v>229059.825</v>
      </c>
      <c r="N11" s="166">
        <f t="shared" si="5"/>
        <v>0</v>
      </c>
      <c r="O11" s="166">
        <f t="shared" si="5"/>
        <v>0</v>
      </c>
      <c r="P11" s="166">
        <f t="shared" si="5"/>
        <v>0</v>
      </c>
      <c r="Q11" s="166">
        <f t="shared" si="5"/>
        <v>0</v>
      </c>
      <c r="R11" s="166">
        <f t="shared" si="5"/>
        <v>0</v>
      </c>
      <c r="S11" s="166">
        <f t="shared" si="5"/>
        <v>0</v>
      </c>
      <c r="T11" s="166">
        <f t="shared" si="5"/>
        <v>0</v>
      </c>
      <c r="U11" s="166">
        <f t="shared" si="5"/>
        <v>0</v>
      </c>
      <c r="V11" s="166">
        <f t="shared" si="5"/>
        <v>0</v>
      </c>
      <c r="W11" s="166">
        <f t="shared" si="5"/>
        <v>0</v>
      </c>
      <c r="X11" s="166">
        <f t="shared" si="5"/>
        <v>452532.825</v>
      </c>
      <c r="Y11" s="168"/>
    </row>
    <row r="12" spans="1:25" s="169" customFormat="1" ht="30.75" customHeight="1">
      <c r="A12" s="179"/>
      <c r="B12" s="180"/>
      <c r="C12" s="264" t="s">
        <v>151</v>
      </c>
      <c r="D12" s="264"/>
      <c r="E12" s="152" t="s">
        <v>108</v>
      </c>
      <c r="F12" s="152" t="s">
        <v>108</v>
      </c>
      <c r="G12" s="152" t="s">
        <v>108</v>
      </c>
      <c r="H12" s="164">
        <f t="shared" si="0"/>
        <v>14360315.999999998</v>
      </c>
      <c r="I12" s="165">
        <f>K12/J12*100</f>
        <v>1.0680823253099603</v>
      </c>
      <c r="J12" s="166">
        <f aca="true" t="shared" si="6" ref="J12:X12">J16+J19+J67+J64+J49</f>
        <v>1257742</v>
      </c>
      <c r="K12" s="167">
        <f t="shared" si="6"/>
        <v>13433.720000000001</v>
      </c>
      <c r="L12" s="166">
        <f t="shared" si="6"/>
        <v>2510000</v>
      </c>
      <c r="M12" s="166">
        <f t="shared" si="6"/>
        <v>5962930</v>
      </c>
      <c r="N12" s="166">
        <f t="shared" si="6"/>
        <v>2819644</v>
      </c>
      <c r="O12" s="166">
        <f t="shared" si="6"/>
        <v>1310000</v>
      </c>
      <c r="P12" s="166">
        <f t="shared" si="6"/>
        <v>500000</v>
      </c>
      <c r="Q12" s="166">
        <f t="shared" si="6"/>
        <v>0</v>
      </c>
      <c r="R12" s="166">
        <f t="shared" si="6"/>
        <v>0</v>
      </c>
      <c r="S12" s="166">
        <f t="shared" si="6"/>
        <v>0</v>
      </c>
      <c r="T12" s="166">
        <f t="shared" si="6"/>
        <v>0</v>
      </c>
      <c r="U12" s="166">
        <f t="shared" si="6"/>
        <v>0</v>
      </c>
      <c r="V12" s="166">
        <f t="shared" si="6"/>
        <v>0</v>
      </c>
      <c r="W12" s="166">
        <f t="shared" si="6"/>
        <v>0</v>
      </c>
      <c r="X12" s="166">
        <f t="shared" si="6"/>
        <v>13102574</v>
      </c>
      <c r="Y12" s="168"/>
    </row>
    <row r="13" spans="1:25" s="175" customFormat="1" ht="30.75" customHeight="1">
      <c r="A13" s="179"/>
      <c r="B13" s="180"/>
      <c r="C13" s="265" t="s">
        <v>155</v>
      </c>
      <c r="D13" s="265"/>
      <c r="E13" s="171"/>
      <c r="F13" s="171"/>
      <c r="G13" s="171"/>
      <c r="H13" s="164"/>
      <c r="I13" s="165"/>
      <c r="J13" s="171"/>
      <c r="K13" s="172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3">
        <f>SUM(J13:W13)</f>
        <v>0</v>
      </c>
      <c r="Y13" s="174"/>
    </row>
    <row r="14" spans="1:25" s="169" customFormat="1" ht="81">
      <c r="A14" s="179"/>
      <c r="B14" s="180"/>
      <c r="C14" s="181" t="s">
        <v>156</v>
      </c>
      <c r="D14" s="182" t="s">
        <v>179</v>
      </c>
      <c r="E14" s="151" t="s">
        <v>158</v>
      </c>
      <c r="F14" s="151">
        <v>2011</v>
      </c>
      <c r="G14" s="151">
        <v>2013</v>
      </c>
      <c r="H14" s="164">
        <f>SUM(J14:W14)-K14</f>
        <v>665607.8250000001</v>
      </c>
      <c r="I14" s="165">
        <f>K14/J14*100</f>
        <v>42.15316672533146</v>
      </c>
      <c r="J14" s="183">
        <f aca="true" t="shared" si="7" ref="J14:X14">J15+J16</f>
        <v>213075</v>
      </c>
      <c r="K14" s="184">
        <f t="shared" si="7"/>
        <v>89817.86</v>
      </c>
      <c r="L14" s="183">
        <f t="shared" si="7"/>
        <v>223473</v>
      </c>
      <c r="M14" s="183">
        <f t="shared" si="7"/>
        <v>229059.825</v>
      </c>
      <c r="N14" s="183">
        <f t="shared" si="7"/>
        <v>0</v>
      </c>
      <c r="O14" s="183">
        <f t="shared" si="7"/>
        <v>0</v>
      </c>
      <c r="P14" s="183">
        <f t="shared" si="7"/>
        <v>0</v>
      </c>
      <c r="Q14" s="183">
        <f t="shared" si="7"/>
        <v>0</v>
      </c>
      <c r="R14" s="183">
        <f t="shared" si="7"/>
        <v>0</v>
      </c>
      <c r="S14" s="183">
        <f t="shared" si="7"/>
        <v>0</v>
      </c>
      <c r="T14" s="183">
        <f t="shared" si="7"/>
        <v>0</v>
      </c>
      <c r="U14" s="183">
        <f t="shared" si="7"/>
        <v>0</v>
      </c>
      <c r="V14" s="183">
        <f t="shared" si="7"/>
        <v>0</v>
      </c>
      <c r="W14" s="183">
        <f t="shared" si="7"/>
        <v>0</v>
      </c>
      <c r="X14" s="183">
        <f t="shared" si="7"/>
        <v>452532.825</v>
      </c>
      <c r="Y14" s="185"/>
    </row>
    <row r="15" spans="1:25" s="190" customFormat="1" ht="30.75" customHeight="1">
      <c r="A15" s="179"/>
      <c r="B15" s="180"/>
      <c r="C15" s="170"/>
      <c r="D15" s="170" t="s">
        <v>150</v>
      </c>
      <c r="E15" s="186" t="s">
        <v>108</v>
      </c>
      <c r="F15" s="186" t="s">
        <v>108</v>
      </c>
      <c r="G15" s="186" t="s">
        <v>108</v>
      </c>
      <c r="H15" s="173">
        <f>SUM(J15:W15)-K15</f>
        <v>665607.8250000001</v>
      </c>
      <c r="I15" s="187">
        <f>K15/J15*100</f>
        <v>42.15316672533146</v>
      </c>
      <c r="J15" s="173">
        <v>213075</v>
      </c>
      <c r="K15" s="188">
        <v>89817.86</v>
      </c>
      <c r="L15" s="173">
        <v>223473</v>
      </c>
      <c r="M15" s="173">
        <f>(L15*0.025)+L15</f>
        <v>229059.825</v>
      </c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>
        <f>SUM(L15:W15)</f>
        <v>452532.825</v>
      </c>
      <c r="Y15" s="189"/>
    </row>
    <row r="16" spans="1:25" s="190" customFormat="1" ht="30.75" customHeight="1">
      <c r="A16" s="179"/>
      <c r="B16" s="180"/>
      <c r="C16" s="170"/>
      <c r="D16" s="170" t="s">
        <v>159</v>
      </c>
      <c r="E16" s="186" t="s">
        <v>108</v>
      </c>
      <c r="F16" s="186" t="s">
        <v>108</v>
      </c>
      <c r="G16" s="186" t="s">
        <v>108</v>
      </c>
      <c r="H16" s="173"/>
      <c r="I16" s="187"/>
      <c r="J16" s="191"/>
      <c r="K16" s="192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73">
        <f>SUM(L16:W16)</f>
        <v>0</v>
      </c>
      <c r="Y16" s="189"/>
    </row>
    <row r="17" spans="1:25" s="169" customFormat="1" ht="30.75" customHeight="1">
      <c r="A17" s="179"/>
      <c r="B17" s="180"/>
      <c r="C17" s="181" t="s">
        <v>160</v>
      </c>
      <c r="D17" s="182" t="s">
        <v>161</v>
      </c>
      <c r="E17" s="151" t="s">
        <v>162</v>
      </c>
      <c r="F17" s="151">
        <v>2011</v>
      </c>
      <c r="G17" s="151">
        <v>2016</v>
      </c>
      <c r="H17" s="164">
        <f>SUM(J17:W17)-K17</f>
        <v>10000574</v>
      </c>
      <c r="I17" s="165">
        <f>K17/J17*100</f>
        <v>1.5508474576271187</v>
      </c>
      <c r="J17" s="183">
        <f aca="true" t="shared" si="8" ref="J17:X17">J18+J19</f>
        <v>590000</v>
      </c>
      <c r="K17" s="184">
        <f t="shared" si="8"/>
        <v>9150</v>
      </c>
      <c r="L17" s="183">
        <f t="shared" si="8"/>
        <v>610000</v>
      </c>
      <c r="M17" s="183">
        <f t="shared" si="8"/>
        <v>4770930</v>
      </c>
      <c r="N17" s="183">
        <f t="shared" si="8"/>
        <v>2219644</v>
      </c>
      <c r="O17" s="183">
        <f t="shared" si="8"/>
        <v>1310000</v>
      </c>
      <c r="P17" s="183">
        <f t="shared" si="8"/>
        <v>500000</v>
      </c>
      <c r="Q17" s="183">
        <f t="shared" si="8"/>
        <v>0</v>
      </c>
      <c r="R17" s="183">
        <f t="shared" si="8"/>
        <v>0</v>
      </c>
      <c r="S17" s="183">
        <f t="shared" si="8"/>
        <v>0</v>
      </c>
      <c r="T17" s="183">
        <f t="shared" si="8"/>
        <v>0</v>
      </c>
      <c r="U17" s="183">
        <f t="shared" si="8"/>
        <v>0</v>
      </c>
      <c r="V17" s="183">
        <f t="shared" si="8"/>
        <v>0</v>
      </c>
      <c r="W17" s="183">
        <f t="shared" si="8"/>
        <v>0</v>
      </c>
      <c r="X17" s="183">
        <f t="shared" si="8"/>
        <v>9410574</v>
      </c>
      <c r="Y17" s="185"/>
    </row>
    <row r="18" spans="1:25" s="190" customFormat="1" ht="30.75" customHeight="1">
      <c r="A18" s="179"/>
      <c r="B18" s="180"/>
      <c r="C18" s="170"/>
      <c r="D18" s="193" t="s">
        <v>150</v>
      </c>
      <c r="E18" s="186" t="s">
        <v>108</v>
      </c>
      <c r="F18" s="186" t="s">
        <v>108</v>
      </c>
      <c r="G18" s="186" t="s">
        <v>108</v>
      </c>
      <c r="H18" s="173"/>
      <c r="I18" s="187" t="e">
        <f>K18/J18*100</f>
        <v>#DIV/0!</v>
      </c>
      <c r="J18" s="173">
        <f aca="true" t="shared" si="9" ref="J18:W18">J21+J24+J27+J30+J33+J36+J39+J42+J45</f>
        <v>0</v>
      </c>
      <c r="K18" s="188">
        <f t="shared" si="9"/>
        <v>0</v>
      </c>
      <c r="L18" s="173">
        <f t="shared" si="9"/>
        <v>0</v>
      </c>
      <c r="M18" s="173">
        <f t="shared" si="9"/>
        <v>0</v>
      </c>
      <c r="N18" s="173">
        <f t="shared" si="9"/>
        <v>0</v>
      </c>
      <c r="O18" s="173">
        <f t="shared" si="9"/>
        <v>0</v>
      </c>
      <c r="P18" s="173">
        <f t="shared" si="9"/>
        <v>0</v>
      </c>
      <c r="Q18" s="173">
        <f t="shared" si="9"/>
        <v>0</v>
      </c>
      <c r="R18" s="173">
        <f t="shared" si="9"/>
        <v>0</v>
      </c>
      <c r="S18" s="173">
        <f t="shared" si="9"/>
        <v>0</v>
      </c>
      <c r="T18" s="173">
        <f t="shared" si="9"/>
        <v>0</v>
      </c>
      <c r="U18" s="173">
        <f t="shared" si="9"/>
        <v>0</v>
      </c>
      <c r="V18" s="173">
        <f t="shared" si="9"/>
        <v>0</v>
      </c>
      <c r="W18" s="173">
        <f t="shared" si="9"/>
        <v>0</v>
      </c>
      <c r="X18" s="173">
        <f>SUM(L18:W18)</f>
        <v>0</v>
      </c>
      <c r="Y18" s="189"/>
    </row>
    <row r="19" spans="1:25" s="190" customFormat="1" ht="30.75" customHeight="1">
      <c r="A19" s="179"/>
      <c r="B19" s="180"/>
      <c r="C19" s="170"/>
      <c r="D19" s="170" t="s">
        <v>159</v>
      </c>
      <c r="E19" s="186" t="s">
        <v>108</v>
      </c>
      <c r="F19" s="186" t="s">
        <v>108</v>
      </c>
      <c r="G19" s="186" t="s">
        <v>108</v>
      </c>
      <c r="H19" s="173">
        <f>SUM(J19:W19)-K19</f>
        <v>10000574</v>
      </c>
      <c r="I19" s="187">
        <f>K19/J19*100</f>
        <v>1.5508474576271187</v>
      </c>
      <c r="J19" s="173">
        <f aca="true" t="shared" si="10" ref="J19:W19">J22+J25+J28+J31+J34+J37+J40+J43+J46</f>
        <v>590000</v>
      </c>
      <c r="K19" s="188">
        <f t="shared" si="10"/>
        <v>9150</v>
      </c>
      <c r="L19" s="173">
        <f t="shared" si="10"/>
        <v>610000</v>
      </c>
      <c r="M19" s="173">
        <f t="shared" si="10"/>
        <v>4770930</v>
      </c>
      <c r="N19" s="173">
        <f t="shared" si="10"/>
        <v>2219644</v>
      </c>
      <c r="O19" s="173">
        <f t="shared" si="10"/>
        <v>1310000</v>
      </c>
      <c r="P19" s="173">
        <f t="shared" si="10"/>
        <v>500000</v>
      </c>
      <c r="Q19" s="173">
        <f t="shared" si="10"/>
        <v>0</v>
      </c>
      <c r="R19" s="173">
        <f t="shared" si="10"/>
        <v>0</v>
      </c>
      <c r="S19" s="173">
        <f t="shared" si="10"/>
        <v>0</v>
      </c>
      <c r="T19" s="173">
        <f t="shared" si="10"/>
        <v>0</v>
      </c>
      <c r="U19" s="173">
        <f t="shared" si="10"/>
        <v>0</v>
      </c>
      <c r="V19" s="173">
        <f t="shared" si="10"/>
        <v>0</v>
      </c>
      <c r="W19" s="173">
        <f t="shared" si="10"/>
        <v>0</v>
      </c>
      <c r="X19" s="173">
        <f>SUM(L19:W19)</f>
        <v>9410574</v>
      </c>
      <c r="Y19" s="189"/>
    </row>
    <row r="20" spans="1:25" s="169" customFormat="1" ht="54.75" customHeight="1">
      <c r="A20" s="179"/>
      <c r="B20" s="180"/>
      <c r="C20" s="194" t="s">
        <v>180</v>
      </c>
      <c r="D20" s="195" t="s">
        <v>181</v>
      </c>
      <c r="E20" s="151" t="s">
        <v>108</v>
      </c>
      <c r="F20" s="151">
        <v>2011</v>
      </c>
      <c r="G20" s="151">
        <v>2012</v>
      </c>
      <c r="H20" s="164">
        <f>SUM(J20:W20)-K20</f>
        <v>985374</v>
      </c>
      <c r="I20" s="165">
        <f>K20/J20*100</f>
        <v>1.885144239287642</v>
      </c>
      <c r="J20" s="183">
        <v>485374</v>
      </c>
      <c r="K20" s="184">
        <f aca="true" t="shared" si="11" ref="K20:X20">K21+K22</f>
        <v>9150</v>
      </c>
      <c r="L20" s="183">
        <f t="shared" si="11"/>
        <v>500000</v>
      </c>
      <c r="M20" s="183">
        <f t="shared" si="11"/>
        <v>0</v>
      </c>
      <c r="N20" s="183">
        <f t="shared" si="11"/>
        <v>0</v>
      </c>
      <c r="O20" s="183">
        <f t="shared" si="11"/>
        <v>0</v>
      </c>
      <c r="P20" s="183">
        <f t="shared" si="11"/>
        <v>0</v>
      </c>
      <c r="Q20" s="183">
        <f t="shared" si="11"/>
        <v>0</v>
      </c>
      <c r="R20" s="183">
        <f t="shared" si="11"/>
        <v>0</v>
      </c>
      <c r="S20" s="183">
        <f t="shared" si="11"/>
        <v>0</v>
      </c>
      <c r="T20" s="183">
        <f t="shared" si="11"/>
        <v>0</v>
      </c>
      <c r="U20" s="183">
        <f t="shared" si="11"/>
        <v>0</v>
      </c>
      <c r="V20" s="183">
        <f t="shared" si="11"/>
        <v>0</v>
      </c>
      <c r="W20" s="183">
        <f t="shared" si="11"/>
        <v>0</v>
      </c>
      <c r="X20" s="183">
        <f t="shared" si="11"/>
        <v>500000</v>
      </c>
      <c r="Y20" s="196"/>
    </row>
    <row r="21" spans="1:25" s="190" customFormat="1" ht="27.75">
      <c r="A21" s="179"/>
      <c r="B21" s="180"/>
      <c r="C21" s="197"/>
      <c r="D21" s="193" t="s">
        <v>150</v>
      </c>
      <c r="E21" s="186" t="s">
        <v>108</v>
      </c>
      <c r="F21" s="186" t="s">
        <v>108</v>
      </c>
      <c r="G21" s="186" t="s">
        <v>108</v>
      </c>
      <c r="H21" s="173"/>
      <c r="I21" s="187"/>
      <c r="J21" s="173"/>
      <c r="K21" s="188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>
        <f>SUM(L21:W21)</f>
        <v>0</v>
      </c>
      <c r="Y21" s="189"/>
    </row>
    <row r="22" spans="1:25" s="190" customFormat="1" ht="30.75" customHeight="1">
      <c r="A22" s="179"/>
      <c r="B22" s="180"/>
      <c r="C22" s="197"/>
      <c r="D22" s="170" t="s">
        <v>159</v>
      </c>
      <c r="E22" s="186" t="s">
        <v>108</v>
      </c>
      <c r="F22" s="186" t="s">
        <v>108</v>
      </c>
      <c r="G22" s="186" t="s">
        <v>108</v>
      </c>
      <c r="H22" s="173">
        <f>SUM(J22:W22)-K22</f>
        <v>985000</v>
      </c>
      <c r="I22" s="187">
        <f>K22/J22*100</f>
        <v>1.8865979381443299</v>
      </c>
      <c r="J22" s="173">
        <f>465000+20000</f>
        <v>485000</v>
      </c>
      <c r="K22" s="188">
        <v>9150</v>
      </c>
      <c r="L22" s="173">
        <v>500000</v>
      </c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>
        <f>SUM(L22:W22)</f>
        <v>500000</v>
      </c>
      <c r="Y22" s="189"/>
    </row>
    <row r="23" spans="1:25" s="169" customFormat="1" ht="30.75" customHeight="1">
      <c r="A23" s="179"/>
      <c r="B23" s="180"/>
      <c r="C23" s="194" t="s">
        <v>182</v>
      </c>
      <c r="D23" s="182" t="s">
        <v>183</v>
      </c>
      <c r="E23" s="151" t="s">
        <v>108</v>
      </c>
      <c r="F23" s="151">
        <v>2011</v>
      </c>
      <c r="G23" s="151">
        <v>2013</v>
      </c>
      <c r="H23" s="164">
        <f>SUM(J23:W23)-K23+50000</f>
        <v>1167666</v>
      </c>
      <c r="I23" s="187"/>
      <c r="J23" s="183">
        <f aca="true" t="shared" si="12" ref="J23:X23">J24+J25</f>
        <v>0</v>
      </c>
      <c r="K23" s="184">
        <f t="shared" si="12"/>
        <v>0</v>
      </c>
      <c r="L23" s="183">
        <f t="shared" si="12"/>
        <v>0</v>
      </c>
      <c r="M23" s="183">
        <f t="shared" si="12"/>
        <v>1117666</v>
      </c>
      <c r="N23" s="183">
        <f t="shared" si="12"/>
        <v>0</v>
      </c>
      <c r="O23" s="183">
        <f t="shared" si="12"/>
        <v>0</v>
      </c>
      <c r="P23" s="183">
        <f t="shared" si="12"/>
        <v>0</v>
      </c>
      <c r="Q23" s="183">
        <f t="shared" si="12"/>
        <v>0</v>
      </c>
      <c r="R23" s="183">
        <f t="shared" si="12"/>
        <v>0</v>
      </c>
      <c r="S23" s="183">
        <f t="shared" si="12"/>
        <v>0</v>
      </c>
      <c r="T23" s="183">
        <f t="shared" si="12"/>
        <v>0</v>
      </c>
      <c r="U23" s="183">
        <f t="shared" si="12"/>
        <v>0</v>
      </c>
      <c r="V23" s="183">
        <f t="shared" si="12"/>
        <v>0</v>
      </c>
      <c r="W23" s="183">
        <f t="shared" si="12"/>
        <v>0</v>
      </c>
      <c r="X23" s="183">
        <f t="shared" si="12"/>
        <v>1117666</v>
      </c>
      <c r="Y23" s="196"/>
    </row>
    <row r="24" spans="1:25" s="190" customFormat="1" ht="27.75">
      <c r="A24" s="179"/>
      <c r="B24" s="180"/>
      <c r="C24" s="197"/>
      <c r="D24" s="193" t="s">
        <v>150</v>
      </c>
      <c r="E24" s="186" t="s">
        <v>108</v>
      </c>
      <c r="F24" s="186" t="s">
        <v>108</v>
      </c>
      <c r="G24" s="186" t="s">
        <v>108</v>
      </c>
      <c r="H24" s="173"/>
      <c r="I24" s="187"/>
      <c r="J24" s="173"/>
      <c r="K24" s="188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>
        <f>SUM(L24:W24)</f>
        <v>0</v>
      </c>
      <c r="Y24" s="189"/>
    </row>
    <row r="25" spans="1:25" s="190" customFormat="1" ht="27.75">
      <c r="A25" s="179"/>
      <c r="B25" s="180"/>
      <c r="C25" s="197"/>
      <c r="D25" s="170" t="s">
        <v>159</v>
      </c>
      <c r="E25" s="186" t="s">
        <v>108</v>
      </c>
      <c r="F25" s="186" t="s">
        <v>108</v>
      </c>
      <c r="G25" s="186" t="s">
        <v>108</v>
      </c>
      <c r="H25" s="173">
        <f>SUM(J25:W25)-K25+50000</f>
        <v>1167666</v>
      </c>
      <c r="I25" s="187"/>
      <c r="J25" s="173"/>
      <c r="K25" s="188"/>
      <c r="L25" s="173"/>
      <c r="M25" s="173">
        <v>1117666</v>
      </c>
      <c r="N25" s="173"/>
      <c r="O25"/>
      <c r="P25" s="173"/>
      <c r="Q25" s="173"/>
      <c r="R25" s="173"/>
      <c r="S25" s="173"/>
      <c r="T25" s="173"/>
      <c r="U25" s="173"/>
      <c r="V25" s="173"/>
      <c r="W25" s="173"/>
      <c r="X25" s="173">
        <f>SUM(L25:W25)</f>
        <v>1117666</v>
      </c>
      <c r="Y25" s="189"/>
    </row>
    <row r="26" spans="1:25" s="169" customFormat="1" ht="60.75" customHeight="1">
      <c r="A26" s="179"/>
      <c r="B26" s="180"/>
      <c r="C26" s="194" t="s">
        <v>184</v>
      </c>
      <c r="D26" s="182" t="s">
        <v>185</v>
      </c>
      <c r="E26" s="151" t="s">
        <v>108</v>
      </c>
      <c r="F26" s="151" t="s">
        <v>108</v>
      </c>
      <c r="G26" s="151" t="s">
        <v>108</v>
      </c>
      <c r="H26" s="164">
        <f>SUM(J26:W26)-K26</f>
        <v>2085000</v>
      </c>
      <c r="I26" s="187">
        <f>K26/J26*100</f>
        <v>0</v>
      </c>
      <c r="J26" s="183">
        <f aca="true" t="shared" si="13" ref="J26:X26">J27+J28</f>
        <v>50000</v>
      </c>
      <c r="K26" s="184">
        <f t="shared" si="13"/>
        <v>0</v>
      </c>
      <c r="L26" s="183">
        <f t="shared" si="13"/>
        <v>100000</v>
      </c>
      <c r="M26" s="183">
        <f t="shared" si="13"/>
        <v>1935000</v>
      </c>
      <c r="N26" s="183">
        <f t="shared" si="13"/>
        <v>0</v>
      </c>
      <c r="O26" s="183">
        <f t="shared" si="13"/>
        <v>0</v>
      </c>
      <c r="P26" s="183">
        <f t="shared" si="13"/>
        <v>0</v>
      </c>
      <c r="Q26" s="183">
        <f t="shared" si="13"/>
        <v>0</v>
      </c>
      <c r="R26" s="183">
        <f t="shared" si="13"/>
        <v>0</v>
      </c>
      <c r="S26" s="183">
        <f t="shared" si="13"/>
        <v>0</v>
      </c>
      <c r="T26" s="183">
        <f t="shared" si="13"/>
        <v>0</v>
      </c>
      <c r="U26" s="183">
        <f t="shared" si="13"/>
        <v>0</v>
      </c>
      <c r="V26" s="183">
        <f t="shared" si="13"/>
        <v>0</v>
      </c>
      <c r="W26" s="183">
        <f t="shared" si="13"/>
        <v>0</v>
      </c>
      <c r="X26" s="183">
        <f t="shared" si="13"/>
        <v>2035000</v>
      </c>
      <c r="Y26" s="196"/>
    </row>
    <row r="27" spans="1:25" s="190" customFormat="1" ht="27.75">
      <c r="A27" s="179"/>
      <c r="B27" s="180"/>
      <c r="C27" s="197"/>
      <c r="D27" s="193" t="s">
        <v>150</v>
      </c>
      <c r="E27" s="186" t="s">
        <v>108</v>
      </c>
      <c r="F27" s="186" t="s">
        <v>108</v>
      </c>
      <c r="G27" s="186" t="s">
        <v>108</v>
      </c>
      <c r="H27" s="173"/>
      <c r="I27" s="187"/>
      <c r="J27" s="173"/>
      <c r="K27" s="188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>
        <f>SUM(L27:W27)</f>
        <v>0</v>
      </c>
      <c r="Y27" s="189"/>
    </row>
    <row r="28" spans="1:25" s="190" customFormat="1" ht="30.75" customHeight="1">
      <c r="A28" s="179"/>
      <c r="B28" s="180"/>
      <c r="C28" s="197"/>
      <c r="D28" s="170" t="s">
        <v>159</v>
      </c>
      <c r="E28" s="186" t="s">
        <v>108</v>
      </c>
      <c r="F28" s="186">
        <v>2011</v>
      </c>
      <c r="G28" s="186">
        <v>2013</v>
      </c>
      <c r="H28" s="173">
        <f aca="true" t="shared" si="14" ref="H28:H40">SUM(J28:W28)-K28</f>
        <v>2085000</v>
      </c>
      <c r="I28" s="187">
        <f>K28/J28*100</f>
        <v>0</v>
      </c>
      <c r="J28" s="173">
        <v>50000</v>
      </c>
      <c r="K28" s="188">
        <v>0</v>
      </c>
      <c r="L28" s="173">
        <v>100000</v>
      </c>
      <c r="M28" s="173">
        <v>1935000</v>
      </c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>
        <f>SUM(L28:W28)</f>
        <v>2035000</v>
      </c>
      <c r="Y28" s="189"/>
    </row>
    <row r="29" spans="1:25" s="169" customFormat="1" ht="27.75">
      <c r="A29" s="179"/>
      <c r="B29" s="180"/>
      <c r="C29" s="194" t="s">
        <v>186</v>
      </c>
      <c r="D29" s="182" t="s">
        <v>187</v>
      </c>
      <c r="E29" s="151" t="s">
        <v>108</v>
      </c>
      <c r="F29" s="151" t="s">
        <v>108</v>
      </c>
      <c r="G29" s="151" t="s">
        <v>108</v>
      </c>
      <c r="H29" s="164">
        <f t="shared" si="14"/>
        <v>500000</v>
      </c>
      <c r="I29" s="187"/>
      <c r="J29" s="183">
        <f aca="true" t="shared" si="15" ref="J29:X29">J30+J31</f>
        <v>0</v>
      </c>
      <c r="K29" s="184">
        <f t="shared" si="15"/>
        <v>0</v>
      </c>
      <c r="L29" s="183">
        <f t="shared" si="15"/>
        <v>0</v>
      </c>
      <c r="M29" s="183">
        <f t="shared" si="15"/>
        <v>0</v>
      </c>
      <c r="N29" s="183">
        <f t="shared" si="15"/>
        <v>0</v>
      </c>
      <c r="O29" s="183">
        <f t="shared" si="15"/>
        <v>400000</v>
      </c>
      <c r="P29" s="183">
        <f t="shared" si="15"/>
        <v>100000</v>
      </c>
      <c r="Q29" s="183">
        <f t="shared" si="15"/>
        <v>0</v>
      </c>
      <c r="R29" s="183">
        <f t="shared" si="15"/>
        <v>0</v>
      </c>
      <c r="S29" s="183">
        <f t="shared" si="15"/>
        <v>0</v>
      </c>
      <c r="T29" s="183">
        <f t="shared" si="15"/>
        <v>0</v>
      </c>
      <c r="U29" s="183">
        <f t="shared" si="15"/>
        <v>0</v>
      </c>
      <c r="V29" s="183">
        <f t="shared" si="15"/>
        <v>0</v>
      </c>
      <c r="W29" s="183">
        <f t="shared" si="15"/>
        <v>0</v>
      </c>
      <c r="X29" s="183">
        <f t="shared" si="15"/>
        <v>500000</v>
      </c>
      <c r="Y29" s="196"/>
    </row>
    <row r="30" spans="1:25" s="190" customFormat="1" ht="27.75">
      <c r="A30" s="179"/>
      <c r="B30" s="180"/>
      <c r="C30" s="197"/>
      <c r="D30" s="193" t="s">
        <v>150</v>
      </c>
      <c r="E30" s="186" t="s">
        <v>108</v>
      </c>
      <c r="F30" s="186" t="s">
        <v>108</v>
      </c>
      <c r="G30" s="186" t="s">
        <v>108</v>
      </c>
      <c r="H30" s="173">
        <f t="shared" si="14"/>
        <v>0</v>
      </c>
      <c r="I30" s="187"/>
      <c r="J30" s="173"/>
      <c r="K30" s="188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>
        <f>SUM(L30:W30)</f>
        <v>0</v>
      </c>
      <c r="Y30" s="189"/>
    </row>
    <row r="31" spans="1:25" s="190" customFormat="1" ht="27.75">
      <c r="A31" s="179"/>
      <c r="B31" s="180"/>
      <c r="C31" s="197"/>
      <c r="D31" s="170" t="s">
        <v>159</v>
      </c>
      <c r="E31" s="186" t="s">
        <v>108</v>
      </c>
      <c r="F31" s="186">
        <v>2015</v>
      </c>
      <c r="G31" s="186">
        <v>2016</v>
      </c>
      <c r="H31" s="173">
        <f t="shared" si="14"/>
        <v>500000</v>
      </c>
      <c r="I31" s="187"/>
      <c r="J31" s="173"/>
      <c r="K31" s="188"/>
      <c r="L31" s="173"/>
      <c r="M31" s="198"/>
      <c r="N31" s="173"/>
      <c r="O31" s="173">
        <v>400000</v>
      </c>
      <c r="P31" s="173">
        <v>100000</v>
      </c>
      <c r="Q31" s="173"/>
      <c r="R31" s="173"/>
      <c r="S31" s="173"/>
      <c r="T31" s="173"/>
      <c r="U31" s="173"/>
      <c r="V31" s="173"/>
      <c r="W31" s="173"/>
      <c r="X31" s="173">
        <f>SUM(L31:W31)</f>
        <v>500000</v>
      </c>
      <c r="Y31" s="189"/>
    </row>
    <row r="32" spans="1:25" s="169" customFormat="1" ht="78.75" customHeight="1">
      <c r="A32" s="179"/>
      <c r="B32" s="180"/>
      <c r="C32" s="194" t="s">
        <v>188</v>
      </c>
      <c r="D32" s="182" t="s">
        <v>189</v>
      </c>
      <c r="E32" s="151" t="s">
        <v>108</v>
      </c>
      <c r="F32" s="151">
        <v>2015</v>
      </c>
      <c r="G32" s="151">
        <v>2016</v>
      </c>
      <c r="H32" s="164">
        <f t="shared" si="14"/>
        <v>800000</v>
      </c>
      <c r="I32" s="187"/>
      <c r="J32" s="183">
        <f aca="true" t="shared" si="16" ref="J32:X32">J33+J34</f>
        <v>0</v>
      </c>
      <c r="K32" s="184">
        <f t="shared" si="16"/>
        <v>0</v>
      </c>
      <c r="L32" s="183">
        <f t="shared" si="16"/>
        <v>0</v>
      </c>
      <c r="M32" s="183">
        <f t="shared" si="16"/>
        <v>0</v>
      </c>
      <c r="N32" s="183">
        <f t="shared" si="16"/>
        <v>0</v>
      </c>
      <c r="O32" s="183">
        <f t="shared" si="16"/>
        <v>400000</v>
      </c>
      <c r="P32" s="183">
        <f t="shared" si="16"/>
        <v>400000</v>
      </c>
      <c r="Q32" s="183">
        <f t="shared" si="16"/>
        <v>0</v>
      </c>
      <c r="R32" s="183">
        <f t="shared" si="16"/>
        <v>0</v>
      </c>
      <c r="S32" s="183">
        <f t="shared" si="16"/>
        <v>0</v>
      </c>
      <c r="T32" s="183">
        <f t="shared" si="16"/>
        <v>0</v>
      </c>
      <c r="U32" s="183">
        <f t="shared" si="16"/>
        <v>0</v>
      </c>
      <c r="V32" s="183">
        <f t="shared" si="16"/>
        <v>0</v>
      </c>
      <c r="W32" s="183">
        <f t="shared" si="16"/>
        <v>0</v>
      </c>
      <c r="X32" s="183">
        <f t="shared" si="16"/>
        <v>800000</v>
      </c>
      <c r="Y32" s="196"/>
    </row>
    <row r="33" spans="1:25" s="190" customFormat="1" ht="27.75">
      <c r="A33" s="179"/>
      <c r="B33" s="180"/>
      <c r="C33" s="197"/>
      <c r="D33" s="193" t="s">
        <v>150</v>
      </c>
      <c r="E33" s="186" t="s">
        <v>108</v>
      </c>
      <c r="F33" s="186" t="s">
        <v>108</v>
      </c>
      <c r="G33" s="186" t="s">
        <v>108</v>
      </c>
      <c r="H33" s="173">
        <f t="shared" si="14"/>
        <v>0</v>
      </c>
      <c r="I33" s="187"/>
      <c r="J33" s="173"/>
      <c r="K33" s="188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>
        <f>SUM(L33:W33)</f>
        <v>0</v>
      </c>
      <c r="Y33" s="189"/>
    </row>
    <row r="34" spans="1:25" s="190" customFormat="1" ht="27.75">
      <c r="A34" s="179"/>
      <c r="B34" s="180"/>
      <c r="C34" s="197"/>
      <c r="D34" s="170" t="s">
        <v>159</v>
      </c>
      <c r="E34" s="186" t="s">
        <v>108</v>
      </c>
      <c r="F34" s="186" t="s">
        <v>108</v>
      </c>
      <c r="G34" s="186" t="s">
        <v>108</v>
      </c>
      <c r="H34" s="173">
        <f t="shared" si="14"/>
        <v>800000</v>
      </c>
      <c r="I34" s="187"/>
      <c r="J34" s="173"/>
      <c r="K34" s="188"/>
      <c r="L34" s="198"/>
      <c r="M34" s="198"/>
      <c r="N34" s="198"/>
      <c r="O34" s="173">
        <v>400000</v>
      </c>
      <c r="P34" s="173">
        <v>400000</v>
      </c>
      <c r="Q34" s="173"/>
      <c r="R34" s="173"/>
      <c r="S34" s="173"/>
      <c r="T34" s="173"/>
      <c r="U34" s="173"/>
      <c r="V34" s="173"/>
      <c r="W34" s="173"/>
      <c r="X34" s="173">
        <f>SUM(L34:W34)</f>
        <v>800000</v>
      </c>
      <c r="Y34" s="189"/>
    </row>
    <row r="35" spans="1:25" s="169" customFormat="1" ht="60.75" customHeight="1">
      <c r="A35" s="179"/>
      <c r="B35" s="180"/>
      <c r="C35" s="194" t="s">
        <v>190</v>
      </c>
      <c r="D35" s="182" t="s">
        <v>191</v>
      </c>
      <c r="E35" s="151" t="s">
        <v>108</v>
      </c>
      <c r="F35" s="151" t="s">
        <v>108</v>
      </c>
      <c r="G35" s="151" t="s">
        <v>108</v>
      </c>
      <c r="H35" s="164">
        <f t="shared" si="14"/>
        <v>900000</v>
      </c>
      <c r="I35" s="187"/>
      <c r="J35" s="183">
        <f aca="true" t="shared" si="17" ref="J35:X35">J36+J37</f>
        <v>0</v>
      </c>
      <c r="K35" s="184">
        <f t="shared" si="17"/>
        <v>0</v>
      </c>
      <c r="L35" s="183">
        <f t="shared" si="17"/>
        <v>0</v>
      </c>
      <c r="M35" s="183">
        <f t="shared" si="17"/>
        <v>0</v>
      </c>
      <c r="N35" s="183">
        <f t="shared" si="17"/>
        <v>450000</v>
      </c>
      <c r="O35" s="183">
        <f t="shared" si="17"/>
        <v>450000</v>
      </c>
      <c r="P35" s="183">
        <f t="shared" si="17"/>
        <v>0</v>
      </c>
      <c r="Q35" s="183">
        <f t="shared" si="17"/>
        <v>0</v>
      </c>
      <c r="R35" s="183">
        <f t="shared" si="17"/>
        <v>0</v>
      </c>
      <c r="S35" s="183">
        <f t="shared" si="17"/>
        <v>0</v>
      </c>
      <c r="T35" s="183">
        <f t="shared" si="17"/>
        <v>0</v>
      </c>
      <c r="U35" s="183">
        <f t="shared" si="17"/>
        <v>0</v>
      </c>
      <c r="V35" s="183">
        <f t="shared" si="17"/>
        <v>0</v>
      </c>
      <c r="W35" s="183">
        <f t="shared" si="17"/>
        <v>0</v>
      </c>
      <c r="X35" s="183">
        <f t="shared" si="17"/>
        <v>900000</v>
      </c>
      <c r="Y35" s="196"/>
    </row>
    <row r="36" spans="1:25" s="190" customFormat="1" ht="30.75" customHeight="1">
      <c r="A36" s="179"/>
      <c r="B36" s="180"/>
      <c r="C36" s="197"/>
      <c r="D36" s="193" t="s">
        <v>150</v>
      </c>
      <c r="E36" s="186" t="s">
        <v>108</v>
      </c>
      <c r="F36" s="186" t="s">
        <v>108</v>
      </c>
      <c r="G36" s="186" t="s">
        <v>108</v>
      </c>
      <c r="H36" s="173">
        <f t="shared" si="14"/>
        <v>0</v>
      </c>
      <c r="I36" s="187"/>
      <c r="J36" s="173"/>
      <c r="K36" s="188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>
        <f>SUM(L36:W36)</f>
        <v>0</v>
      </c>
      <c r="Y36" s="189"/>
    </row>
    <row r="37" spans="1:25" s="190" customFormat="1" ht="30.75" customHeight="1">
      <c r="A37" s="179"/>
      <c r="B37" s="180"/>
      <c r="C37" s="197"/>
      <c r="D37" s="170" t="s">
        <v>159</v>
      </c>
      <c r="E37" s="186" t="s">
        <v>108</v>
      </c>
      <c r="F37" s="186">
        <v>2013</v>
      </c>
      <c r="G37" s="186">
        <v>2014</v>
      </c>
      <c r="H37" s="173">
        <f t="shared" si="14"/>
        <v>900000</v>
      </c>
      <c r="I37" s="187"/>
      <c r="J37" s="173"/>
      <c r="K37" s="188"/>
      <c r="L37" s="173"/>
      <c r="M37" s="198"/>
      <c r="N37" s="173">
        <v>450000</v>
      </c>
      <c r="O37" s="173">
        <v>450000</v>
      </c>
      <c r="P37" s="199"/>
      <c r="Q37" s="173"/>
      <c r="R37" s="173"/>
      <c r="S37" s="173"/>
      <c r="T37" s="173"/>
      <c r="U37" s="173"/>
      <c r="V37" s="173"/>
      <c r="W37" s="173"/>
      <c r="X37" s="173">
        <f>SUM(L37:W37)</f>
        <v>900000</v>
      </c>
      <c r="Y37" s="189"/>
    </row>
    <row r="38" spans="1:25" s="169" customFormat="1" ht="30.75" customHeight="1">
      <c r="A38" s="179"/>
      <c r="B38" s="180"/>
      <c r="C38" s="194" t="s">
        <v>192</v>
      </c>
      <c r="D38" s="182" t="s">
        <v>193</v>
      </c>
      <c r="E38" s="151" t="s">
        <v>108</v>
      </c>
      <c r="F38" s="151" t="s">
        <v>108</v>
      </c>
      <c r="G38" s="151" t="s">
        <v>108</v>
      </c>
      <c r="H38" s="164">
        <f t="shared" si="14"/>
        <v>360000</v>
      </c>
      <c r="I38" s="187"/>
      <c r="J38" s="183">
        <f aca="true" t="shared" si="18" ref="J38:X38">J39+J40</f>
        <v>0</v>
      </c>
      <c r="K38" s="184">
        <f t="shared" si="18"/>
        <v>0</v>
      </c>
      <c r="L38" s="183">
        <f t="shared" si="18"/>
        <v>0</v>
      </c>
      <c r="M38" s="183">
        <f t="shared" si="18"/>
        <v>0</v>
      </c>
      <c r="N38" s="183">
        <f t="shared" si="18"/>
        <v>300000</v>
      </c>
      <c r="O38" s="183">
        <f t="shared" si="18"/>
        <v>60000</v>
      </c>
      <c r="P38" s="183">
        <f t="shared" si="18"/>
        <v>0</v>
      </c>
      <c r="Q38" s="183">
        <f t="shared" si="18"/>
        <v>0</v>
      </c>
      <c r="R38" s="183">
        <f t="shared" si="18"/>
        <v>0</v>
      </c>
      <c r="S38" s="183">
        <f t="shared" si="18"/>
        <v>0</v>
      </c>
      <c r="T38" s="183">
        <f t="shared" si="18"/>
        <v>0</v>
      </c>
      <c r="U38" s="183">
        <f t="shared" si="18"/>
        <v>0</v>
      </c>
      <c r="V38" s="183">
        <f t="shared" si="18"/>
        <v>0</v>
      </c>
      <c r="W38" s="183">
        <f t="shared" si="18"/>
        <v>0</v>
      </c>
      <c r="X38" s="183">
        <f t="shared" si="18"/>
        <v>360000</v>
      </c>
      <c r="Y38" s="196"/>
    </row>
    <row r="39" spans="1:25" s="190" customFormat="1" ht="30.75" customHeight="1">
      <c r="A39" s="179"/>
      <c r="B39" s="180"/>
      <c r="C39" s="197"/>
      <c r="D39" s="193" t="s">
        <v>150</v>
      </c>
      <c r="E39" s="186" t="s">
        <v>108</v>
      </c>
      <c r="F39" s="186" t="s">
        <v>108</v>
      </c>
      <c r="G39" s="186" t="s">
        <v>108</v>
      </c>
      <c r="H39" s="173">
        <f t="shared" si="14"/>
        <v>0</v>
      </c>
      <c r="I39" s="187"/>
      <c r="J39" s="173"/>
      <c r="K39" s="188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>
        <f>SUM(L39:W39)</f>
        <v>0</v>
      </c>
      <c r="Y39" s="189"/>
    </row>
    <row r="40" spans="1:25" s="190" customFormat="1" ht="30.75" customHeight="1">
      <c r="A40" s="179"/>
      <c r="B40" s="180"/>
      <c r="C40" s="197"/>
      <c r="D40" s="170" t="s">
        <v>159</v>
      </c>
      <c r="E40" s="186" t="s">
        <v>108</v>
      </c>
      <c r="F40" s="186">
        <v>2013</v>
      </c>
      <c r="G40" s="186">
        <v>2014</v>
      </c>
      <c r="H40" s="173">
        <f t="shared" si="14"/>
        <v>360000</v>
      </c>
      <c r="I40" s="187"/>
      <c r="J40" s="173"/>
      <c r="K40" s="188"/>
      <c r="L40" s="173"/>
      <c r="M40" s="198"/>
      <c r="N40" s="173">
        <v>300000</v>
      </c>
      <c r="O40" s="173">
        <v>60000</v>
      </c>
      <c r="P40" s="199"/>
      <c r="Q40" s="173"/>
      <c r="R40" s="173"/>
      <c r="S40" s="173"/>
      <c r="T40" s="173"/>
      <c r="U40" s="173"/>
      <c r="V40" s="173"/>
      <c r="W40" s="173"/>
      <c r="X40" s="173">
        <f>SUM(L40:W40)</f>
        <v>360000</v>
      </c>
      <c r="Y40" s="189"/>
    </row>
    <row r="41" spans="1:25" s="169" customFormat="1" ht="54">
      <c r="A41" s="179"/>
      <c r="B41" s="180"/>
      <c r="C41" s="194" t="s">
        <v>194</v>
      </c>
      <c r="D41" s="195" t="s">
        <v>195</v>
      </c>
      <c r="E41" s="151" t="s">
        <v>108</v>
      </c>
      <c r="F41" s="151">
        <v>2010</v>
      </c>
      <c r="G41" s="151">
        <v>2014</v>
      </c>
      <c r="H41" s="164">
        <f>SUM(H42:H43)</f>
        <v>3265742</v>
      </c>
      <c r="I41" s="187">
        <f>K41/J41*100</f>
        <v>0</v>
      </c>
      <c r="J41" s="183">
        <f aca="true" t="shared" si="19" ref="J41:X41">J42+J43</f>
        <v>55000</v>
      </c>
      <c r="K41" s="184">
        <f t="shared" si="19"/>
        <v>0</v>
      </c>
      <c r="L41" s="183">
        <f t="shared" si="19"/>
        <v>0</v>
      </c>
      <c r="M41" s="183">
        <f t="shared" si="19"/>
        <v>1673264</v>
      </c>
      <c r="N41" s="183">
        <f t="shared" si="19"/>
        <v>1424644</v>
      </c>
      <c r="O41" s="183">
        <f t="shared" si="19"/>
        <v>0</v>
      </c>
      <c r="P41" s="183">
        <f t="shared" si="19"/>
        <v>0</v>
      </c>
      <c r="Q41" s="183">
        <f t="shared" si="19"/>
        <v>0</v>
      </c>
      <c r="R41" s="183">
        <f t="shared" si="19"/>
        <v>0</v>
      </c>
      <c r="S41" s="183">
        <f t="shared" si="19"/>
        <v>0</v>
      </c>
      <c r="T41" s="183">
        <f t="shared" si="19"/>
        <v>0</v>
      </c>
      <c r="U41" s="183">
        <f t="shared" si="19"/>
        <v>0</v>
      </c>
      <c r="V41" s="183">
        <f t="shared" si="19"/>
        <v>0</v>
      </c>
      <c r="W41" s="183">
        <f t="shared" si="19"/>
        <v>0</v>
      </c>
      <c r="X41" s="183">
        <f t="shared" si="19"/>
        <v>3097908</v>
      </c>
      <c r="Y41" s="196"/>
    </row>
    <row r="42" spans="1:25" s="190" customFormat="1" ht="27.75">
      <c r="A42" s="179"/>
      <c r="B42" s="180"/>
      <c r="C42" s="197"/>
      <c r="D42" s="193" t="s">
        <v>150</v>
      </c>
      <c r="E42" s="186" t="s">
        <v>108</v>
      </c>
      <c r="F42" s="186" t="s">
        <v>108</v>
      </c>
      <c r="G42" s="186" t="s">
        <v>108</v>
      </c>
      <c r="H42" s="173">
        <f>SUM(J42:W42)-K42</f>
        <v>0</v>
      </c>
      <c r="I42" s="187"/>
      <c r="J42" s="173"/>
      <c r="K42" s="188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>
        <f>SUM(L42:W42)</f>
        <v>0</v>
      </c>
      <c r="Y42" s="189"/>
    </row>
    <row r="43" spans="1:25" s="190" customFormat="1" ht="27.75">
      <c r="A43" s="179"/>
      <c r="B43" s="180"/>
      <c r="C43" s="197"/>
      <c r="D43" s="170" t="s">
        <v>159</v>
      </c>
      <c r="E43" s="186" t="s">
        <v>108</v>
      </c>
      <c r="F43" s="186" t="s">
        <v>108</v>
      </c>
      <c r="G43" s="186" t="s">
        <v>108</v>
      </c>
      <c r="H43" s="173">
        <f>SUM(J43:W43)-K43+50000+62834</f>
        <v>3265742</v>
      </c>
      <c r="I43" s="187">
        <f>K43/J43*100</f>
        <v>0</v>
      </c>
      <c r="J43" s="173">
        <v>55000</v>
      </c>
      <c r="K43" s="188">
        <v>0</v>
      </c>
      <c r="L43" s="173">
        <v>0</v>
      </c>
      <c r="M43" s="173">
        <v>1673264</v>
      </c>
      <c r="N43" s="173">
        <v>1424644</v>
      </c>
      <c r="O43" s="173"/>
      <c r="P43" s="173"/>
      <c r="Q43" s="173"/>
      <c r="R43" s="173"/>
      <c r="S43" s="173"/>
      <c r="T43" s="173"/>
      <c r="U43" s="173"/>
      <c r="V43" s="173"/>
      <c r="W43" s="173"/>
      <c r="X43" s="173">
        <f>SUM(L43:W43)</f>
        <v>3097908</v>
      </c>
      <c r="Y43" s="189"/>
    </row>
    <row r="44" spans="1:25" s="190" customFormat="1" ht="27.75">
      <c r="A44" s="179"/>
      <c r="B44" s="180"/>
      <c r="C44" s="194" t="s">
        <v>196</v>
      </c>
      <c r="D44" s="200" t="s">
        <v>197</v>
      </c>
      <c r="E44" s="151" t="s">
        <v>108</v>
      </c>
      <c r="F44" s="151">
        <v>2012</v>
      </c>
      <c r="G44" s="151">
        <v>2014</v>
      </c>
      <c r="H44" s="164">
        <f>SUM(H45:H46)</f>
        <v>100000</v>
      </c>
      <c r="I44" s="187" t="e">
        <f>K44/J44*100</f>
        <v>#DIV/0!</v>
      </c>
      <c r="J44" s="183">
        <f aca="true" t="shared" si="20" ref="J44:X44">J45+J46</f>
        <v>0</v>
      </c>
      <c r="K44" s="184">
        <f t="shared" si="20"/>
        <v>0</v>
      </c>
      <c r="L44" s="183">
        <f t="shared" si="20"/>
        <v>10000</v>
      </c>
      <c r="M44" s="183">
        <f t="shared" si="20"/>
        <v>45000</v>
      </c>
      <c r="N44" s="183">
        <f t="shared" si="20"/>
        <v>45000</v>
      </c>
      <c r="O44" s="183">
        <f t="shared" si="20"/>
        <v>0</v>
      </c>
      <c r="P44" s="183">
        <f t="shared" si="20"/>
        <v>0</v>
      </c>
      <c r="Q44" s="183">
        <f t="shared" si="20"/>
        <v>0</v>
      </c>
      <c r="R44" s="183">
        <f t="shared" si="20"/>
        <v>0</v>
      </c>
      <c r="S44" s="183">
        <f t="shared" si="20"/>
        <v>0</v>
      </c>
      <c r="T44" s="183">
        <f t="shared" si="20"/>
        <v>0</v>
      </c>
      <c r="U44" s="183">
        <f t="shared" si="20"/>
        <v>0</v>
      </c>
      <c r="V44" s="183">
        <f t="shared" si="20"/>
        <v>0</v>
      </c>
      <c r="W44" s="183">
        <f t="shared" si="20"/>
        <v>0</v>
      </c>
      <c r="X44" s="183">
        <f t="shared" si="20"/>
        <v>100000</v>
      </c>
      <c r="Y44" s="189"/>
    </row>
    <row r="45" spans="1:25" s="190" customFormat="1" ht="27.75">
      <c r="A45" s="179"/>
      <c r="B45" s="180"/>
      <c r="C45" s="197"/>
      <c r="D45" s="193" t="s">
        <v>150</v>
      </c>
      <c r="E45" s="186" t="s">
        <v>108</v>
      </c>
      <c r="F45" s="186" t="s">
        <v>108</v>
      </c>
      <c r="G45" s="186" t="s">
        <v>108</v>
      </c>
      <c r="H45" s="173">
        <f>SUM(J45:W45)-K45</f>
        <v>0</v>
      </c>
      <c r="I45" s="187"/>
      <c r="J45" s="173"/>
      <c r="K45" s="188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>
        <f>SUM(L45:W45)</f>
        <v>0</v>
      </c>
      <c r="Y45" s="189"/>
    </row>
    <row r="46" spans="1:25" s="190" customFormat="1" ht="44.25" customHeight="1">
      <c r="A46" s="179"/>
      <c r="B46" s="180"/>
      <c r="C46" s="197"/>
      <c r="D46" s="170" t="s">
        <v>159</v>
      </c>
      <c r="E46" s="186" t="s">
        <v>108</v>
      </c>
      <c r="F46" s="186" t="s">
        <v>108</v>
      </c>
      <c r="G46" s="186" t="s">
        <v>108</v>
      </c>
      <c r="H46" s="173">
        <f>SUM(J46:W46)</f>
        <v>100000</v>
      </c>
      <c r="I46" s="187" t="e">
        <f>K46/J46*100</f>
        <v>#DIV/0!</v>
      </c>
      <c r="J46" s="173">
        <v>0</v>
      </c>
      <c r="K46" s="188">
        <v>0</v>
      </c>
      <c r="L46" s="173">
        <v>10000</v>
      </c>
      <c r="M46" s="173">
        <v>45000</v>
      </c>
      <c r="N46" s="173">
        <v>45000</v>
      </c>
      <c r="O46" s="173"/>
      <c r="P46" s="173"/>
      <c r="Q46" s="173"/>
      <c r="R46" s="173"/>
      <c r="S46" s="173"/>
      <c r="T46" s="173"/>
      <c r="U46" s="173"/>
      <c r="V46" s="173"/>
      <c r="W46" s="173"/>
      <c r="X46" s="173">
        <f>SUM(L46:W46)</f>
        <v>100000</v>
      </c>
      <c r="Y46" s="189"/>
    </row>
    <row r="47" spans="1:25" s="190" customFormat="1" ht="54">
      <c r="A47" s="179"/>
      <c r="B47" s="180"/>
      <c r="C47" s="181" t="s">
        <v>163</v>
      </c>
      <c r="D47" s="182" t="s">
        <v>164</v>
      </c>
      <c r="E47" s="151" t="s">
        <v>162</v>
      </c>
      <c r="F47" s="151" t="s">
        <v>108</v>
      </c>
      <c r="G47" s="151" t="s">
        <v>108</v>
      </c>
      <c r="H47" s="164">
        <f>SUM(J47:W47)-K47</f>
        <v>2292000</v>
      </c>
      <c r="I47" s="187"/>
      <c r="J47" s="183">
        <f>J50+J53+J56+J59</f>
        <v>0</v>
      </c>
      <c r="K47" s="184">
        <f>K50+K53+K56+K59</f>
        <v>0</v>
      </c>
      <c r="L47" s="183">
        <f aca="true" t="shared" si="21" ref="L47:X47">L48+L49</f>
        <v>500000</v>
      </c>
      <c r="M47" s="183">
        <f t="shared" si="21"/>
        <v>1192000</v>
      </c>
      <c r="N47" s="183">
        <f t="shared" si="21"/>
        <v>600000</v>
      </c>
      <c r="O47" s="183">
        <f t="shared" si="21"/>
        <v>0</v>
      </c>
      <c r="P47" s="183">
        <f t="shared" si="21"/>
        <v>0</v>
      </c>
      <c r="Q47" s="183">
        <f t="shared" si="21"/>
        <v>0</v>
      </c>
      <c r="R47" s="183">
        <f t="shared" si="21"/>
        <v>0</v>
      </c>
      <c r="S47" s="183">
        <f t="shared" si="21"/>
        <v>0</v>
      </c>
      <c r="T47" s="183">
        <f t="shared" si="21"/>
        <v>0</v>
      </c>
      <c r="U47" s="183">
        <f t="shared" si="21"/>
        <v>0</v>
      </c>
      <c r="V47" s="183">
        <f t="shared" si="21"/>
        <v>0</v>
      </c>
      <c r="W47" s="183">
        <f t="shared" si="21"/>
        <v>0</v>
      </c>
      <c r="X47" s="183">
        <f t="shared" si="21"/>
        <v>2292000</v>
      </c>
      <c r="Y47" s="185"/>
    </row>
    <row r="48" spans="1:25" s="190" customFormat="1" ht="30.75" customHeight="1">
      <c r="A48" s="179"/>
      <c r="B48" s="180"/>
      <c r="C48" s="201"/>
      <c r="D48" s="193" t="s">
        <v>150</v>
      </c>
      <c r="E48" s="186" t="s">
        <v>108</v>
      </c>
      <c r="F48" s="186" t="s">
        <v>108</v>
      </c>
      <c r="G48" s="186" t="s">
        <v>108</v>
      </c>
      <c r="H48" s="173">
        <f>SUM(J48:W48)-K48</f>
        <v>0</v>
      </c>
      <c r="I48" s="187"/>
      <c r="J48" s="202">
        <f aca="true" t="shared" si="22" ref="J48:W48">J54+J51+J57+J60</f>
        <v>0</v>
      </c>
      <c r="K48" s="203">
        <f t="shared" si="22"/>
        <v>0</v>
      </c>
      <c r="L48" s="202">
        <f t="shared" si="22"/>
        <v>0</v>
      </c>
      <c r="M48" s="202">
        <f t="shared" si="22"/>
        <v>0</v>
      </c>
      <c r="N48" s="202">
        <f t="shared" si="22"/>
        <v>0</v>
      </c>
      <c r="O48" s="202">
        <f t="shared" si="22"/>
        <v>0</v>
      </c>
      <c r="P48" s="202">
        <f t="shared" si="22"/>
        <v>0</v>
      </c>
      <c r="Q48" s="202">
        <f t="shared" si="22"/>
        <v>0</v>
      </c>
      <c r="R48" s="202">
        <f t="shared" si="22"/>
        <v>0</v>
      </c>
      <c r="S48" s="202">
        <f t="shared" si="22"/>
        <v>0</v>
      </c>
      <c r="T48" s="202">
        <f t="shared" si="22"/>
        <v>0</v>
      </c>
      <c r="U48" s="202">
        <f t="shared" si="22"/>
        <v>0</v>
      </c>
      <c r="V48" s="202">
        <f t="shared" si="22"/>
        <v>0</v>
      </c>
      <c r="W48" s="202">
        <f t="shared" si="22"/>
        <v>0</v>
      </c>
      <c r="X48" s="173">
        <f>SUM(L48:W48)</f>
        <v>0</v>
      </c>
      <c r="Y48" s="204"/>
    </row>
    <row r="49" spans="1:25" s="190" customFormat="1" ht="30.75" customHeight="1">
      <c r="A49" s="179"/>
      <c r="B49" s="180"/>
      <c r="C49" s="201"/>
      <c r="D49" s="170" t="s">
        <v>159</v>
      </c>
      <c r="E49" s="186" t="s">
        <v>108</v>
      </c>
      <c r="F49" s="186" t="s">
        <v>108</v>
      </c>
      <c r="G49" s="186" t="s">
        <v>108</v>
      </c>
      <c r="H49" s="173">
        <f>SUM(J49:W49)-K49</f>
        <v>2292000</v>
      </c>
      <c r="I49" s="187"/>
      <c r="J49" s="202">
        <f aca="true" t="shared" si="23" ref="J49:W49">J55+J52+J58+J61</f>
        <v>0</v>
      </c>
      <c r="K49" s="203">
        <f t="shared" si="23"/>
        <v>0</v>
      </c>
      <c r="L49" s="202">
        <f t="shared" si="23"/>
        <v>500000</v>
      </c>
      <c r="M49" s="202">
        <f t="shared" si="23"/>
        <v>1192000</v>
      </c>
      <c r="N49" s="202">
        <f t="shared" si="23"/>
        <v>600000</v>
      </c>
      <c r="O49" s="202">
        <f t="shared" si="23"/>
        <v>0</v>
      </c>
      <c r="P49" s="202">
        <f t="shared" si="23"/>
        <v>0</v>
      </c>
      <c r="Q49" s="202">
        <f t="shared" si="23"/>
        <v>0</v>
      </c>
      <c r="R49" s="202">
        <f t="shared" si="23"/>
        <v>0</v>
      </c>
      <c r="S49" s="202">
        <f t="shared" si="23"/>
        <v>0</v>
      </c>
      <c r="T49" s="202">
        <f t="shared" si="23"/>
        <v>0</v>
      </c>
      <c r="U49" s="202">
        <f t="shared" si="23"/>
        <v>0</v>
      </c>
      <c r="V49" s="202">
        <f t="shared" si="23"/>
        <v>0</v>
      </c>
      <c r="W49" s="202">
        <f t="shared" si="23"/>
        <v>0</v>
      </c>
      <c r="X49" s="173">
        <f>SUM(L49:W49)</f>
        <v>2292000</v>
      </c>
      <c r="Y49" s="204"/>
    </row>
    <row r="50" spans="1:25" s="169" customFormat="1" ht="59.25" customHeight="1">
      <c r="A50" s="179"/>
      <c r="B50" s="180"/>
      <c r="C50" s="181" t="s">
        <v>198</v>
      </c>
      <c r="D50" s="182" t="s">
        <v>199</v>
      </c>
      <c r="E50" s="151" t="s">
        <v>108</v>
      </c>
      <c r="F50" s="151">
        <v>2010</v>
      </c>
      <c r="G50" s="151">
        <v>2012</v>
      </c>
      <c r="H50" s="164">
        <f>SUM(H51:H52)</f>
        <v>657179</v>
      </c>
      <c r="I50" s="187"/>
      <c r="J50" s="183">
        <f aca="true" t="shared" si="24" ref="J50:X50">J51+J52</f>
        <v>0</v>
      </c>
      <c r="K50" s="184">
        <f t="shared" si="24"/>
        <v>0</v>
      </c>
      <c r="L50" s="183">
        <f t="shared" si="24"/>
        <v>350000</v>
      </c>
      <c r="M50" s="183">
        <f t="shared" si="24"/>
        <v>0</v>
      </c>
      <c r="N50" s="183">
        <f t="shared" si="24"/>
        <v>0</v>
      </c>
      <c r="O50" s="183">
        <f t="shared" si="24"/>
        <v>0</v>
      </c>
      <c r="P50" s="183">
        <f t="shared" si="24"/>
        <v>0</v>
      </c>
      <c r="Q50" s="183">
        <f t="shared" si="24"/>
        <v>0</v>
      </c>
      <c r="R50" s="183">
        <f t="shared" si="24"/>
        <v>0</v>
      </c>
      <c r="S50" s="183">
        <f t="shared" si="24"/>
        <v>0</v>
      </c>
      <c r="T50" s="183">
        <f t="shared" si="24"/>
        <v>0</v>
      </c>
      <c r="U50" s="183">
        <f t="shared" si="24"/>
        <v>0</v>
      </c>
      <c r="V50" s="183">
        <f t="shared" si="24"/>
        <v>0</v>
      </c>
      <c r="W50" s="183">
        <f t="shared" si="24"/>
        <v>0</v>
      </c>
      <c r="X50" s="183">
        <f t="shared" si="24"/>
        <v>350000</v>
      </c>
      <c r="Y50" s="185"/>
    </row>
    <row r="51" spans="1:25" s="190" customFormat="1" ht="30.75" customHeight="1">
      <c r="A51" s="179"/>
      <c r="B51" s="180"/>
      <c r="C51" s="181"/>
      <c r="D51" s="193" t="s">
        <v>150</v>
      </c>
      <c r="E51" s="186" t="s">
        <v>108</v>
      </c>
      <c r="F51" s="186" t="s">
        <v>108</v>
      </c>
      <c r="G51" s="186" t="s">
        <v>108</v>
      </c>
      <c r="H51" s="173">
        <f>SUM(J51:W51)-K51</f>
        <v>0</v>
      </c>
      <c r="I51" s="187"/>
      <c r="J51" s="173"/>
      <c r="K51" s="188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>
        <f>SUM(L51:W51)</f>
        <v>0</v>
      </c>
      <c r="Y51" s="185"/>
    </row>
    <row r="52" spans="1:25" s="190" customFormat="1" ht="30.75" customHeight="1">
      <c r="A52" s="179"/>
      <c r="B52" s="205"/>
      <c r="C52" s="181"/>
      <c r="D52" s="170" t="s">
        <v>159</v>
      </c>
      <c r="E52" s="186" t="s">
        <v>108</v>
      </c>
      <c r="F52" s="186" t="s">
        <v>108</v>
      </c>
      <c r="G52" s="186" t="s">
        <v>108</v>
      </c>
      <c r="H52" s="173">
        <f>SUM(J52:W52)+307179</f>
        <v>657179</v>
      </c>
      <c r="I52" s="187"/>
      <c r="J52" s="173"/>
      <c r="K52" s="188"/>
      <c r="L52" s="173">
        <v>350000</v>
      </c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>
        <f>SUM(L52:W52)</f>
        <v>350000</v>
      </c>
      <c r="Y52" s="185"/>
    </row>
    <row r="53" spans="1:25" s="169" customFormat="1" ht="108.75" customHeight="1">
      <c r="A53" s="179"/>
      <c r="B53" s="181"/>
      <c r="C53" s="181" t="s">
        <v>200</v>
      </c>
      <c r="D53" s="206" t="s">
        <v>201</v>
      </c>
      <c r="E53" s="151" t="s">
        <v>108</v>
      </c>
      <c r="F53" s="151" t="s">
        <v>108</v>
      </c>
      <c r="G53" s="151" t="s">
        <v>108</v>
      </c>
      <c r="H53" s="164">
        <f>SUM(H54:H55)</f>
        <v>419660</v>
      </c>
      <c r="I53" s="187"/>
      <c r="J53" s="183">
        <f aca="true" t="shared" si="25" ref="J53:X53">J54+J55</f>
        <v>0</v>
      </c>
      <c r="K53" s="184">
        <f t="shared" si="25"/>
        <v>0</v>
      </c>
      <c r="L53" s="183">
        <f t="shared" si="25"/>
        <v>100000</v>
      </c>
      <c r="M53" s="183">
        <f t="shared" si="25"/>
        <v>300000</v>
      </c>
      <c r="N53" s="183">
        <f t="shared" si="25"/>
        <v>0</v>
      </c>
      <c r="O53" s="183">
        <f t="shared" si="25"/>
        <v>0</v>
      </c>
      <c r="P53" s="183">
        <f t="shared" si="25"/>
        <v>0</v>
      </c>
      <c r="Q53" s="183">
        <f t="shared" si="25"/>
        <v>0</v>
      </c>
      <c r="R53" s="183">
        <f t="shared" si="25"/>
        <v>0</v>
      </c>
      <c r="S53" s="183">
        <f t="shared" si="25"/>
        <v>0</v>
      </c>
      <c r="T53" s="183">
        <f t="shared" si="25"/>
        <v>0</v>
      </c>
      <c r="U53" s="183">
        <f t="shared" si="25"/>
        <v>0</v>
      </c>
      <c r="V53" s="183">
        <f t="shared" si="25"/>
        <v>0</v>
      </c>
      <c r="W53" s="183">
        <f t="shared" si="25"/>
        <v>0</v>
      </c>
      <c r="X53" s="183">
        <f t="shared" si="25"/>
        <v>400000</v>
      </c>
      <c r="Y53" s="185"/>
    </row>
    <row r="54" spans="1:25" s="190" customFormat="1" ht="30.75" customHeight="1">
      <c r="A54" s="179"/>
      <c r="B54" s="181"/>
      <c r="C54" s="170"/>
      <c r="D54" s="193" t="s">
        <v>150</v>
      </c>
      <c r="E54" s="186" t="s">
        <v>108</v>
      </c>
      <c r="F54" s="186" t="s">
        <v>108</v>
      </c>
      <c r="G54" s="186" t="s">
        <v>108</v>
      </c>
      <c r="H54" s="173">
        <f>SUM(J54:W54)-K54</f>
        <v>0</v>
      </c>
      <c r="I54" s="187"/>
      <c r="J54" s="173"/>
      <c r="K54" s="188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>
        <f>SUM(L54:W54)</f>
        <v>0</v>
      </c>
      <c r="Y54" s="189"/>
    </row>
    <row r="55" spans="1:25" s="190" customFormat="1" ht="30.75" customHeight="1">
      <c r="A55" s="179"/>
      <c r="B55" s="181"/>
      <c r="C55" s="170"/>
      <c r="D55" s="170" t="s">
        <v>159</v>
      </c>
      <c r="E55" s="186" t="s">
        <v>108</v>
      </c>
      <c r="F55" s="186">
        <v>2010</v>
      </c>
      <c r="G55" s="186">
        <v>2013</v>
      </c>
      <c r="H55" s="173">
        <f>SUM(J55:W55)+19660</f>
        <v>419660</v>
      </c>
      <c r="I55" s="187"/>
      <c r="J55" s="173"/>
      <c r="K55" s="188"/>
      <c r="L55" s="173">
        <v>100000</v>
      </c>
      <c r="M55" s="173">
        <v>300000</v>
      </c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>
        <f>SUM(L55:W55)</f>
        <v>400000</v>
      </c>
      <c r="Y55" s="189"/>
    </row>
    <row r="56" spans="1:25" s="169" customFormat="1" ht="78.75" customHeight="1">
      <c r="A56" s="207"/>
      <c r="B56" s="181"/>
      <c r="C56" s="181" t="s">
        <v>202</v>
      </c>
      <c r="D56" s="206" t="s">
        <v>203</v>
      </c>
      <c r="E56" s="151" t="s">
        <v>108</v>
      </c>
      <c r="F56" s="151">
        <v>2010</v>
      </c>
      <c r="G56" s="151">
        <v>2013</v>
      </c>
      <c r="H56" s="164">
        <f>SUM(H57:H58)</f>
        <v>405930</v>
      </c>
      <c r="I56" s="187"/>
      <c r="J56" s="183">
        <f>J57+J58</f>
        <v>0</v>
      </c>
      <c r="K56" s="184">
        <f>K57+K58</f>
        <v>0</v>
      </c>
      <c r="L56" s="183">
        <f>L58</f>
        <v>50000</v>
      </c>
      <c r="M56" s="183">
        <f>M58</f>
        <v>342000</v>
      </c>
      <c r="N56" s="183">
        <f>N57+N58</f>
        <v>0</v>
      </c>
      <c r="O56" s="183">
        <f>O57+O58</f>
        <v>0</v>
      </c>
      <c r="P56" s="183"/>
      <c r="Q56" s="183"/>
      <c r="R56" s="183"/>
      <c r="S56" s="183"/>
      <c r="T56" s="183"/>
      <c r="U56" s="183"/>
      <c r="V56" s="183"/>
      <c r="W56" s="183"/>
      <c r="X56" s="164">
        <f>SUM(L56:W56)</f>
        <v>392000</v>
      </c>
      <c r="Y56" s="196"/>
    </row>
    <row r="57" spans="1:25" s="190" customFormat="1" ht="27.75">
      <c r="A57" s="179"/>
      <c r="B57" s="181"/>
      <c r="C57" s="170"/>
      <c r="D57" s="193" t="s">
        <v>150</v>
      </c>
      <c r="E57" s="186" t="s">
        <v>108</v>
      </c>
      <c r="F57" s="186" t="s">
        <v>108</v>
      </c>
      <c r="G57" s="186" t="s">
        <v>108</v>
      </c>
      <c r="H57" s="173">
        <f>SUM(J57:W57)-K57</f>
        <v>0</v>
      </c>
      <c r="I57" s="187"/>
      <c r="J57" s="173"/>
      <c r="K57" s="188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>
        <f>SUM(L57:W57)</f>
        <v>0</v>
      </c>
      <c r="Y57" s="189"/>
    </row>
    <row r="58" spans="1:25" s="190" customFormat="1" ht="27.75">
      <c r="A58" s="179"/>
      <c r="B58" s="181"/>
      <c r="C58" s="170"/>
      <c r="D58" s="170" t="s">
        <v>159</v>
      </c>
      <c r="E58" s="186" t="s">
        <v>108</v>
      </c>
      <c r="F58" s="186" t="s">
        <v>108</v>
      </c>
      <c r="G58" s="186" t="s">
        <v>108</v>
      </c>
      <c r="H58" s="173">
        <f>SUM(J58:W58)+13930</f>
        <v>405930</v>
      </c>
      <c r="I58" s="187"/>
      <c r="J58" s="173"/>
      <c r="K58" s="188"/>
      <c r="L58" s="202">
        <v>50000</v>
      </c>
      <c r="M58" s="202">
        <f>292000+50000</f>
        <v>342000</v>
      </c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>
        <f>SUM(L58:W58)</f>
        <v>392000</v>
      </c>
      <c r="Y58" s="189"/>
    </row>
    <row r="59" spans="1:25" s="169" customFormat="1" ht="53.25" customHeight="1">
      <c r="A59" s="179"/>
      <c r="B59" s="181"/>
      <c r="C59" s="181" t="s">
        <v>204</v>
      </c>
      <c r="D59" s="206" t="s">
        <v>205</v>
      </c>
      <c r="E59" s="151" t="s">
        <v>108</v>
      </c>
      <c r="F59" s="151">
        <v>2010</v>
      </c>
      <c r="G59" s="151">
        <v>2014</v>
      </c>
      <c r="H59" s="164">
        <f aca="true" t="shared" si="26" ref="H59:H66">SUM(J59:W59)-K59</f>
        <v>1150000</v>
      </c>
      <c r="I59" s="165"/>
      <c r="J59" s="183">
        <f>J60+J61</f>
        <v>0</v>
      </c>
      <c r="K59" s="184"/>
      <c r="L59" s="183">
        <f aca="true" t="shared" si="27" ref="L59:X59">L60+L61</f>
        <v>0</v>
      </c>
      <c r="M59" s="183">
        <f t="shared" si="27"/>
        <v>550000</v>
      </c>
      <c r="N59" s="183">
        <f t="shared" si="27"/>
        <v>600000</v>
      </c>
      <c r="O59" s="183">
        <f t="shared" si="27"/>
        <v>0</v>
      </c>
      <c r="P59" s="183">
        <f t="shared" si="27"/>
        <v>0</v>
      </c>
      <c r="Q59" s="183">
        <f t="shared" si="27"/>
        <v>0</v>
      </c>
      <c r="R59" s="183">
        <f t="shared" si="27"/>
        <v>0</v>
      </c>
      <c r="S59" s="183">
        <f t="shared" si="27"/>
        <v>0</v>
      </c>
      <c r="T59" s="183">
        <f t="shared" si="27"/>
        <v>0</v>
      </c>
      <c r="U59" s="183">
        <f t="shared" si="27"/>
        <v>0</v>
      </c>
      <c r="V59" s="183">
        <f t="shared" si="27"/>
        <v>0</v>
      </c>
      <c r="W59" s="183">
        <f t="shared" si="27"/>
        <v>0</v>
      </c>
      <c r="X59" s="183">
        <f t="shared" si="27"/>
        <v>1150000</v>
      </c>
      <c r="Y59" s="196"/>
    </row>
    <row r="60" spans="1:25" s="190" customFormat="1" ht="27.75">
      <c r="A60" s="179"/>
      <c r="B60" s="181"/>
      <c r="C60" s="170"/>
      <c r="D60" s="193" t="s">
        <v>150</v>
      </c>
      <c r="E60" s="186" t="s">
        <v>108</v>
      </c>
      <c r="F60" s="186" t="s">
        <v>108</v>
      </c>
      <c r="G60" s="186" t="s">
        <v>108</v>
      </c>
      <c r="H60" s="173">
        <f t="shared" si="26"/>
        <v>0</v>
      </c>
      <c r="I60" s="187"/>
      <c r="J60" s="173"/>
      <c r="K60" s="188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>
        <f>SUM(L60:W60)</f>
        <v>0</v>
      </c>
      <c r="Y60" s="189"/>
    </row>
    <row r="61" spans="1:25" s="190" customFormat="1" ht="30.75" customHeight="1">
      <c r="A61" s="179"/>
      <c r="B61" s="181"/>
      <c r="C61" s="170"/>
      <c r="D61" s="170" t="s">
        <v>159</v>
      </c>
      <c r="E61" s="186" t="s">
        <v>108</v>
      </c>
      <c r="F61" s="186" t="s">
        <v>108</v>
      </c>
      <c r="G61" s="186" t="s">
        <v>108</v>
      </c>
      <c r="H61" s="173">
        <f t="shared" si="26"/>
        <v>1150000</v>
      </c>
      <c r="I61" s="187"/>
      <c r="J61" s="173"/>
      <c r="K61" s="188"/>
      <c r="L61" s="198"/>
      <c r="M61" s="173">
        <v>550000</v>
      </c>
      <c r="N61" s="173">
        <v>600000</v>
      </c>
      <c r="O61" s="208"/>
      <c r="P61" s="208"/>
      <c r="Q61" s="173"/>
      <c r="R61" s="173"/>
      <c r="S61" s="173"/>
      <c r="T61" s="173"/>
      <c r="U61" s="173"/>
      <c r="V61" s="173"/>
      <c r="W61" s="173"/>
      <c r="X61" s="173">
        <f>SUM(L61:W61)</f>
        <v>1150000</v>
      </c>
      <c r="Y61" s="189"/>
    </row>
    <row r="62" spans="1:25" s="169" customFormat="1" ht="12.75" customHeight="1" hidden="1">
      <c r="A62" s="179"/>
      <c r="B62" s="181"/>
      <c r="C62" s="181" t="s">
        <v>165</v>
      </c>
      <c r="D62" s="163" t="s">
        <v>206</v>
      </c>
      <c r="E62" s="151" t="s">
        <v>162</v>
      </c>
      <c r="F62" s="151"/>
      <c r="G62" s="151"/>
      <c r="H62" s="173">
        <f t="shared" si="26"/>
        <v>0</v>
      </c>
      <c r="I62" s="187" t="e">
        <f>K62/J62*100</f>
        <v>#DIV/0!</v>
      </c>
      <c r="J62" s="183">
        <f>J63+J64</f>
        <v>0</v>
      </c>
      <c r="K62" s="184"/>
      <c r="L62" s="183">
        <f aca="true" t="shared" si="28" ref="L62:W62">L63+L64</f>
        <v>0</v>
      </c>
      <c r="M62" s="183">
        <f t="shared" si="28"/>
        <v>0</v>
      </c>
      <c r="N62" s="183">
        <f t="shared" si="28"/>
        <v>0</v>
      </c>
      <c r="O62" s="183">
        <f t="shared" si="28"/>
        <v>0</v>
      </c>
      <c r="P62" s="183">
        <f t="shared" si="28"/>
        <v>0</v>
      </c>
      <c r="Q62" s="183">
        <f t="shared" si="28"/>
        <v>0</v>
      </c>
      <c r="R62" s="183">
        <f t="shared" si="28"/>
        <v>0</v>
      </c>
      <c r="S62" s="183">
        <f t="shared" si="28"/>
        <v>0</v>
      </c>
      <c r="T62" s="183">
        <f t="shared" si="28"/>
        <v>0</v>
      </c>
      <c r="U62" s="183">
        <f t="shared" si="28"/>
        <v>0</v>
      </c>
      <c r="V62" s="183">
        <f t="shared" si="28"/>
        <v>0</v>
      </c>
      <c r="W62" s="183">
        <f t="shared" si="28"/>
        <v>0</v>
      </c>
      <c r="X62" s="173">
        <f>SUM(L62:W62)</f>
        <v>0</v>
      </c>
      <c r="Y62" s="185"/>
    </row>
    <row r="63" spans="1:25" s="190" customFormat="1" ht="12.75" customHeight="1" hidden="1">
      <c r="A63" s="179"/>
      <c r="B63" s="181"/>
      <c r="C63" s="170"/>
      <c r="D63" s="193" t="s">
        <v>150</v>
      </c>
      <c r="E63" s="186" t="s">
        <v>108</v>
      </c>
      <c r="F63" s="186" t="s">
        <v>108</v>
      </c>
      <c r="G63" s="186" t="s">
        <v>108</v>
      </c>
      <c r="H63" s="173">
        <f t="shared" si="26"/>
        <v>0</v>
      </c>
      <c r="I63" s="187" t="e">
        <f>K63/J63*100</f>
        <v>#DIV/0!</v>
      </c>
      <c r="J63" s="173"/>
      <c r="K63" s="188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>
        <f>SUM(L63:W63)</f>
        <v>0</v>
      </c>
      <c r="Y63" s="189"/>
    </row>
    <row r="64" spans="1:25" s="190" customFormat="1" ht="12.75" customHeight="1" hidden="1">
      <c r="A64" s="179"/>
      <c r="B64" s="181"/>
      <c r="C64" s="170"/>
      <c r="D64" s="170" t="s">
        <v>159</v>
      </c>
      <c r="E64" s="186" t="s">
        <v>108</v>
      </c>
      <c r="F64" s="186">
        <v>2012</v>
      </c>
      <c r="G64" s="186">
        <v>2013</v>
      </c>
      <c r="H64" s="173">
        <f t="shared" si="26"/>
        <v>0</v>
      </c>
      <c r="I64" s="187" t="e">
        <f>K64/J64*100</f>
        <v>#DIV/0!</v>
      </c>
      <c r="J64" s="173"/>
      <c r="K64" s="188"/>
      <c r="L64" s="173">
        <v>0</v>
      </c>
      <c r="M64" s="173">
        <v>0</v>
      </c>
      <c r="N64" s="199"/>
      <c r="O64" s="173"/>
      <c r="P64" s="173"/>
      <c r="Q64" s="173"/>
      <c r="R64" s="173"/>
      <c r="S64" s="173"/>
      <c r="T64" s="173"/>
      <c r="U64" s="173"/>
      <c r="V64" s="173"/>
      <c r="W64" s="173"/>
      <c r="X64" s="173">
        <f>SUM(L64:W64)</f>
        <v>0</v>
      </c>
      <c r="Y64" s="189"/>
    </row>
    <row r="65" spans="1:25" s="178" customFormat="1" ht="101.25" customHeight="1">
      <c r="A65" s="179"/>
      <c r="B65" s="181"/>
      <c r="C65" s="181" t="s">
        <v>165</v>
      </c>
      <c r="D65" s="182" t="s">
        <v>167</v>
      </c>
      <c r="E65" s="151" t="s">
        <v>162</v>
      </c>
      <c r="F65" s="151">
        <v>2008</v>
      </c>
      <c r="G65" s="151">
        <v>2012</v>
      </c>
      <c r="H65" s="164">
        <f t="shared" si="26"/>
        <v>2067742</v>
      </c>
      <c r="I65" s="187">
        <f>K67/J65*100</f>
        <v>0.6415232230412345</v>
      </c>
      <c r="J65" s="183">
        <f aca="true" t="shared" si="29" ref="J65:X65">J66+J67</f>
        <v>667742</v>
      </c>
      <c r="K65" s="184">
        <f t="shared" si="29"/>
        <v>4283.72</v>
      </c>
      <c r="L65" s="183">
        <f t="shared" si="29"/>
        <v>1400000</v>
      </c>
      <c r="M65" s="183">
        <f t="shared" si="29"/>
        <v>0</v>
      </c>
      <c r="N65" s="183">
        <f t="shared" si="29"/>
        <v>0</v>
      </c>
      <c r="O65" s="183">
        <f t="shared" si="29"/>
        <v>0</v>
      </c>
      <c r="P65" s="183">
        <f t="shared" si="29"/>
        <v>0</v>
      </c>
      <c r="Q65" s="183">
        <f t="shared" si="29"/>
        <v>0</v>
      </c>
      <c r="R65" s="183">
        <f t="shared" si="29"/>
        <v>0</v>
      </c>
      <c r="S65" s="183">
        <f t="shared" si="29"/>
        <v>0</v>
      </c>
      <c r="T65" s="183">
        <f t="shared" si="29"/>
        <v>0</v>
      </c>
      <c r="U65" s="183">
        <f t="shared" si="29"/>
        <v>0</v>
      </c>
      <c r="V65" s="183">
        <f t="shared" si="29"/>
        <v>0</v>
      </c>
      <c r="W65" s="183">
        <f t="shared" si="29"/>
        <v>0</v>
      </c>
      <c r="X65" s="183">
        <f t="shared" si="29"/>
        <v>1400000</v>
      </c>
      <c r="Y65" s="185"/>
    </row>
    <row r="66" spans="1:25" s="190" customFormat="1" ht="30.75" customHeight="1">
      <c r="A66" s="179"/>
      <c r="B66" s="181"/>
      <c r="C66" s="170"/>
      <c r="D66" s="193" t="s">
        <v>150</v>
      </c>
      <c r="E66" s="186" t="s">
        <v>108</v>
      </c>
      <c r="F66" s="186" t="s">
        <v>108</v>
      </c>
      <c r="G66" s="186" t="s">
        <v>108</v>
      </c>
      <c r="H66" s="173">
        <f t="shared" si="26"/>
        <v>0</v>
      </c>
      <c r="I66" s="187"/>
      <c r="J66" s="173"/>
      <c r="K66" s="188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>
        <f aca="true" t="shared" si="30" ref="X66:X74">SUM(L66:W66)</f>
        <v>0</v>
      </c>
      <c r="Y66" s="189"/>
    </row>
    <row r="67" spans="1:25" s="190" customFormat="1" ht="30.75" customHeight="1">
      <c r="A67" s="179"/>
      <c r="B67" s="181"/>
      <c r="C67" s="170"/>
      <c r="D67" s="170" t="s">
        <v>159</v>
      </c>
      <c r="E67" s="186" t="s">
        <v>108</v>
      </c>
      <c r="F67" s="186" t="s">
        <v>108</v>
      </c>
      <c r="G67" s="186" t="s">
        <v>108</v>
      </c>
      <c r="H67" s="173">
        <f>SUM(J67:W67)</f>
        <v>2072025.72</v>
      </c>
      <c r="I67" s="187">
        <f>K67/J67*100</f>
        <v>0.6415232230412345</v>
      </c>
      <c r="J67" s="173">
        <v>667742</v>
      </c>
      <c r="K67" s="203">
        <f>4283.72</f>
        <v>4283.72</v>
      </c>
      <c r="L67" s="173">
        <v>1400000</v>
      </c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>
        <f t="shared" si="30"/>
        <v>1400000</v>
      </c>
      <c r="Y67" s="189"/>
    </row>
    <row r="68" spans="1:25" s="178" customFormat="1" ht="12.75" customHeight="1" hidden="1">
      <c r="A68" s="179"/>
      <c r="B68" s="209" t="s">
        <v>168</v>
      </c>
      <c r="C68" s="264" t="s">
        <v>169</v>
      </c>
      <c r="D68" s="264"/>
      <c r="E68" s="186" t="s">
        <v>108</v>
      </c>
      <c r="F68" s="186" t="s">
        <v>108</v>
      </c>
      <c r="G68" s="186" t="s">
        <v>108</v>
      </c>
      <c r="H68" s="173">
        <f aca="true" t="shared" si="31" ref="H68:H78">SUM(J68:W68)-K68</f>
        <v>0</v>
      </c>
      <c r="I68" s="187"/>
      <c r="J68" s="166">
        <f aca="true" t="shared" si="32" ref="J68:O70">J72</f>
        <v>0</v>
      </c>
      <c r="K68" s="167">
        <f t="shared" si="32"/>
        <v>0</v>
      </c>
      <c r="L68" s="166">
        <f t="shared" si="32"/>
        <v>0</v>
      </c>
      <c r="M68" s="166">
        <f t="shared" si="32"/>
        <v>0</v>
      </c>
      <c r="N68" s="166">
        <f t="shared" si="32"/>
        <v>0</v>
      </c>
      <c r="O68" s="166">
        <f t="shared" si="32"/>
        <v>0</v>
      </c>
      <c r="P68" s="183"/>
      <c r="Q68" s="183"/>
      <c r="R68" s="183"/>
      <c r="S68" s="183"/>
      <c r="T68" s="183"/>
      <c r="U68" s="183"/>
      <c r="V68" s="183"/>
      <c r="W68" s="183"/>
      <c r="X68" s="173">
        <f t="shared" si="30"/>
        <v>0</v>
      </c>
      <c r="Y68" s="185"/>
    </row>
    <row r="69" spans="1:25" s="169" customFormat="1" ht="12.75" customHeight="1" hidden="1">
      <c r="A69" s="179"/>
      <c r="B69" s="209"/>
      <c r="C69" s="264" t="s">
        <v>150</v>
      </c>
      <c r="D69" s="264"/>
      <c r="E69" s="186" t="s">
        <v>108</v>
      </c>
      <c r="F69" s="186" t="s">
        <v>108</v>
      </c>
      <c r="G69" s="186" t="s">
        <v>108</v>
      </c>
      <c r="H69" s="173">
        <f t="shared" si="31"/>
        <v>0</v>
      </c>
      <c r="I69" s="187"/>
      <c r="J69" s="166">
        <f t="shared" si="32"/>
        <v>0</v>
      </c>
      <c r="K69" s="167">
        <f t="shared" si="32"/>
        <v>0</v>
      </c>
      <c r="L69" s="166">
        <f t="shared" si="32"/>
        <v>0</v>
      </c>
      <c r="M69" s="166">
        <f t="shared" si="32"/>
        <v>0</v>
      </c>
      <c r="N69" s="166">
        <f t="shared" si="32"/>
        <v>0</v>
      </c>
      <c r="O69" s="166">
        <f t="shared" si="32"/>
        <v>0</v>
      </c>
      <c r="P69" s="166"/>
      <c r="Q69" s="166"/>
      <c r="R69" s="166"/>
      <c r="S69" s="166"/>
      <c r="T69" s="166"/>
      <c r="U69" s="166"/>
      <c r="V69" s="166"/>
      <c r="W69" s="166"/>
      <c r="X69" s="173">
        <f t="shared" si="30"/>
        <v>0</v>
      </c>
      <c r="Y69" s="189"/>
    </row>
    <row r="70" spans="1:25" s="169" customFormat="1" ht="12.75" customHeight="1" hidden="1">
      <c r="A70" s="179"/>
      <c r="B70" s="209"/>
      <c r="C70" s="264" t="s">
        <v>151</v>
      </c>
      <c r="D70" s="264"/>
      <c r="E70" s="186" t="s">
        <v>108</v>
      </c>
      <c r="F70" s="186" t="s">
        <v>108</v>
      </c>
      <c r="G70" s="186" t="s">
        <v>108</v>
      </c>
      <c r="H70" s="173">
        <f t="shared" si="31"/>
        <v>0</v>
      </c>
      <c r="I70" s="187"/>
      <c r="J70" s="166">
        <f t="shared" si="32"/>
        <v>0</v>
      </c>
      <c r="K70" s="167">
        <f t="shared" si="32"/>
        <v>0</v>
      </c>
      <c r="L70" s="166">
        <f t="shared" si="32"/>
        <v>0</v>
      </c>
      <c r="M70" s="166">
        <f t="shared" si="32"/>
        <v>0</v>
      </c>
      <c r="N70" s="166">
        <f t="shared" si="32"/>
        <v>0</v>
      </c>
      <c r="O70" s="166">
        <f t="shared" si="32"/>
        <v>0</v>
      </c>
      <c r="P70" s="166"/>
      <c r="Q70" s="166"/>
      <c r="R70" s="166"/>
      <c r="S70" s="166"/>
      <c r="T70" s="166"/>
      <c r="U70" s="166"/>
      <c r="V70" s="166"/>
      <c r="W70" s="166"/>
      <c r="X70" s="173">
        <f t="shared" si="30"/>
        <v>0</v>
      </c>
      <c r="Y70" s="189"/>
    </row>
    <row r="71" spans="1:25" s="175" customFormat="1" ht="12.75" customHeight="1" hidden="1">
      <c r="A71" s="179"/>
      <c r="B71" s="209"/>
      <c r="C71" s="265" t="s">
        <v>155</v>
      </c>
      <c r="D71" s="265"/>
      <c r="E71" s="186" t="s">
        <v>108</v>
      </c>
      <c r="F71" s="186" t="s">
        <v>108</v>
      </c>
      <c r="G71" s="186" t="s">
        <v>108</v>
      </c>
      <c r="H71" s="173">
        <f t="shared" si="31"/>
        <v>0</v>
      </c>
      <c r="I71" s="187"/>
      <c r="J71" s="171"/>
      <c r="K71" s="172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3">
        <f t="shared" si="30"/>
        <v>0</v>
      </c>
      <c r="Y71" s="174"/>
    </row>
    <row r="72" spans="1:25" s="210" customFormat="1" ht="54" hidden="1">
      <c r="A72" s="179"/>
      <c r="B72" s="209"/>
      <c r="C72" s="181" t="s">
        <v>156</v>
      </c>
      <c r="D72" s="182" t="s">
        <v>170</v>
      </c>
      <c r="E72" s="186" t="s">
        <v>108</v>
      </c>
      <c r="F72" s="186" t="s">
        <v>108</v>
      </c>
      <c r="G72" s="186" t="s">
        <v>108</v>
      </c>
      <c r="H72" s="173">
        <f t="shared" si="31"/>
        <v>0</v>
      </c>
      <c r="I72" s="187"/>
      <c r="J72" s="183">
        <f>J73+J74</f>
        <v>0</v>
      </c>
      <c r="K72" s="184"/>
      <c r="L72" s="183">
        <f>L73+L74</f>
        <v>0</v>
      </c>
      <c r="M72" s="183">
        <f>M73+M74</f>
        <v>0</v>
      </c>
      <c r="N72" s="183">
        <f>N73+N74</f>
        <v>0</v>
      </c>
      <c r="O72" s="183">
        <f>O73+O74</f>
        <v>0</v>
      </c>
      <c r="P72" s="183"/>
      <c r="Q72" s="183"/>
      <c r="R72" s="183"/>
      <c r="S72" s="183"/>
      <c r="T72" s="183"/>
      <c r="U72" s="183"/>
      <c r="V72" s="183"/>
      <c r="W72" s="183"/>
      <c r="X72" s="173">
        <f t="shared" si="30"/>
        <v>0</v>
      </c>
      <c r="Y72" s="185"/>
    </row>
    <row r="73" spans="1:25" s="211" customFormat="1" ht="27.75" hidden="1">
      <c r="A73" s="179"/>
      <c r="B73" s="209"/>
      <c r="C73" s="170"/>
      <c r="D73" s="193" t="s">
        <v>150</v>
      </c>
      <c r="E73" s="186" t="s">
        <v>108</v>
      </c>
      <c r="F73" s="186" t="s">
        <v>108</v>
      </c>
      <c r="G73" s="186" t="s">
        <v>108</v>
      </c>
      <c r="H73" s="173">
        <f t="shared" si="31"/>
        <v>0</v>
      </c>
      <c r="I73" s="187"/>
      <c r="J73" s="173"/>
      <c r="K73" s="188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>
        <f t="shared" si="30"/>
        <v>0</v>
      </c>
      <c r="Y73" s="189"/>
    </row>
    <row r="74" spans="1:25" s="211" customFormat="1" ht="27.75" hidden="1">
      <c r="A74" s="179"/>
      <c r="B74" s="209"/>
      <c r="C74" s="170"/>
      <c r="D74" s="170" t="s">
        <v>159</v>
      </c>
      <c r="E74" s="186" t="s">
        <v>108</v>
      </c>
      <c r="F74" s="186" t="s">
        <v>108</v>
      </c>
      <c r="G74" s="186" t="s">
        <v>108</v>
      </c>
      <c r="H74" s="173">
        <f t="shared" si="31"/>
        <v>0</v>
      </c>
      <c r="I74" s="187"/>
      <c r="J74" s="173"/>
      <c r="K74" s="188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>
        <f t="shared" si="30"/>
        <v>0</v>
      </c>
      <c r="Y74" s="189"/>
    </row>
    <row r="75" spans="1:25" s="178" customFormat="1" ht="48.75" customHeight="1">
      <c r="A75" s="179"/>
      <c r="B75" s="181" t="s">
        <v>171</v>
      </c>
      <c r="C75" s="264" t="s">
        <v>172</v>
      </c>
      <c r="D75" s="264"/>
      <c r="E75" s="151" t="s">
        <v>162</v>
      </c>
      <c r="F75" s="152" t="s">
        <v>108</v>
      </c>
      <c r="G75" s="152" t="s">
        <v>108</v>
      </c>
      <c r="H75" s="164">
        <f t="shared" si="31"/>
        <v>23859340</v>
      </c>
      <c r="I75" s="187">
        <f>K75/J75*100</f>
        <v>1.2130377703140653</v>
      </c>
      <c r="J75" s="183">
        <f aca="true" t="shared" si="33" ref="J75:X75">J76+J77</f>
        <v>4242750</v>
      </c>
      <c r="K75" s="184">
        <f t="shared" si="33"/>
        <v>51466.16</v>
      </c>
      <c r="L75" s="183">
        <f t="shared" si="33"/>
        <v>3091250</v>
      </c>
      <c r="M75" s="183">
        <f t="shared" si="33"/>
        <v>935000</v>
      </c>
      <c r="N75" s="183">
        <f t="shared" si="33"/>
        <v>8675000</v>
      </c>
      <c r="O75" s="183">
        <f t="shared" si="33"/>
        <v>6015340</v>
      </c>
      <c r="P75" s="183">
        <f t="shared" si="33"/>
        <v>500000</v>
      </c>
      <c r="Q75" s="183">
        <f t="shared" si="33"/>
        <v>400000</v>
      </c>
      <c r="R75" s="183">
        <f t="shared" si="33"/>
        <v>0</v>
      </c>
      <c r="S75" s="183">
        <f t="shared" si="33"/>
        <v>0</v>
      </c>
      <c r="T75" s="183">
        <f t="shared" si="33"/>
        <v>0</v>
      </c>
      <c r="U75" s="183">
        <f t="shared" si="33"/>
        <v>0</v>
      </c>
      <c r="V75" s="183">
        <f t="shared" si="33"/>
        <v>0</v>
      </c>
      <c r="W75" s="183">
        <f t="shared" si="33"/>
        <v>0</v>
      </c>
      <c r="X75" s="183">
        <f t="shared" si="33"/>
        <v>19616590</v>
      </c>
      <c r="Y75" s="185"/>
    </row>
    <row r="76" spans="1:25" s="212" customFormat="1" ht="30.75" customHeight="1">
      <c r="A76" s="179"/>
      <c r="B76" s="209"/>
      <c r="C76" s="264" t="s">
        <v>150</v>
      </c>
      <c r="D76" s="264"/>
      <c r="E76" s="152" t="s">
        <v>108</v>
      </c>
      <c r="F76" s="152" t="s">
        <v>108</v>
      </c>
      <c r="G76" s="152" t="s">
        <v>108</v>
      </c>
      <c r="H76" s="173">
        <f t="shared" si="31"/>
        <v>0</v>
      </c>
      <c r="I76" s="187"/>
      <c r="J76" s="183">
        <f aca="true" t="shared" si="34" ref="J76:W76">J104+J98+J95+J92+J89+J86+J83+J80+J101+J110</f>
        <v>0</v>
      </c>
      <c r="K76" s="184">
        <f t="shared" si="34"/>
        <v>0</v>
      </c>
      <c r="L76" s="183">
        <f t="shared" si="34"/>
        <v>0</v>
      </c>
      <c r="M76" s="183">
        <f t="shared" si="34"/>
        <v>0</v>
      </c>
      <c r="N76" s="183">
        <f t="shared" si="34"/>
        <v>0</v>
      </c>
      <c r="O76" s="183">
        <f t="shared" si="34"/>
        <v>0</v>
      </c>
      <c r="P76" s="183">
        <f t="shared" si="34"/>
        <v>0</v>
      </c>
      <c r="Q76" s="183">
        <f t="shared" si="34"/>
        <v>0</v>
      </c>
      <c r="R76" s="183">
        <f t="shared" si="34"/>
        <v>0</v>
      </c>
      <c r="S76" s="183">
        <f t="shared" si="34"/>
        <v>0</v>
      </c>
      <c r="T76" s="183">
        <f t="shared" si="34"/>
        <v>0</v>
      </c>
      <c r="U76" s="183">
        <f t="shared" si="34"/>
        <v>0</v>
      </c>
      <c r="V76" s="183">
        <f t="shared" si="34"/>
        <v>0</v>
      </c>
      <c r="W76" s="183">
        <f t="shared" si="34"/>
        <v>0</v>
      </c>
      <c r="X76" s="164">
        <f>SUM(L76:W76)</f>
        <v>0</v>
      </c>
      <c r="Y76" s="185"/>
    </row>
    <row r="77" spans="1:25" s="212" customFormat="1" ht="30.75" customHeight="1">
      <c r="A77" s="179"/>
      <c r="B77" s="209"/>
      <c r="C77" s="264" t="s">
        <v>151</v>
      </c>
      <c r="D77" s="264"/>
      <c r="E77" s="152" t="s">
        <v>108</v>
      </c>
      <c r="F77" s="152" t="s">
        <v>108</v>
      </c>
      <c r="G77" s="152" t="s">
        <v>108</v>
      </c>
      <c r="H77" s="164">
        <f t="shared" si="31"/>
        <v>23859340</v>
      </c>
      <c r="I77" s="187">
        <f>K77/J77*100</f>
        <v>1.2130377703140653</v>
      </c>
      <c r="J77" s="183">
        <f>J105+J99+J96+J93+J90+J87+J84+J81+J102+J111+J108+H114</f>
        <v>4242750</v>
      </c>
      <c r="K77" s="183">
        <f>K105+K99+K96+K93+K90+K87+K84+K81+K102+K111+K108+I114</f>
        <v>51466.16</v>
      </c>
      <c r="L77" s="183">
        <f aca="true" t="shared" si="35" ref="L77:X77">L105+L99+L96+L93+L90+L87+L84+L81+L102+L111+L108+L114</f>
        <v>3091250</v>
      </c>
      <c r="M77" s="183">
        <f t="shared" si="35"/>
        <v>935000</v>
      </c>
      <c r="N77" s="183">
        <f t="shared" si="35"/>
        <v>8675000</v>
      </c>
      <c r="O77" s="183">
        <f t="shared" si="35"/>
        <v>6015340</v>
      </c>
      <c r="P77" s="183">
        <f t="shared" si="35"/>
        <v>500000</v>
      </c>
      <c r="Q77" s="183">
        <f t="shared" si="35"/>
        <v>400000</v>
      </c>
      <c r="R77" s="183">
        <f t="shared" si="35"/>
        <v>0</v>
      </c>
      <c r="S77" s="183">
        <f t="shared" si="35"/>
        <v>0</v>
      </c>
      <c r="T77" s="183">
        <f t="shared" si="35"/>
        <v>0</v>
      </c>
      <c r="U77" s="183">
        <f t="shared" si="35"/>
        <v>0</v>
      </c>
      <c r="V77" s="183">
        <f t="shared" si="35"/>
        <v>0</v>
      </c>
      <c r="W77" s="183">
        <f t="shared" si="35"/>
        <v>0</v>
      </c>
      <c r="X77" s="183">
        <f t="shared" si="35"/>
        <v>19616590</v>
      </c>
      <c r="Y77" s="185"/>
    </row>
    <row r="78" spans="1:25" s="210" customFormat="1" ht="24.75" customHeight="1">
      <c r="A78" s="179"/>
      <c r="B78" s="209"/>
      <c r="C78" s="265" t="s">
        <v>155</v>
      </c>
      <c r="D78" s="265"/>
      <c r="E78" s="171"/>
      <c r="F78" s="171"/>
      <c r="G78" s="171"/>
      <c r="H78" s="173">
        <f t="shared" si="31"/>
        <v>0</v>
      </c>
      <c r="I78" s="187"/>
      <c r="J78" s="171"/>
      <c r="K78" s="172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3">
        <f>SUM(L78:W78)</f>
        <v>0</v>
      </c>
      <c r="Y78" s="174"/>
    </row>
    <row r="79" spans="1:25" s="213" customFormat="1" ht="12.75" customHeight="1" hidden="1">
      <c r="A79" s="179"/>
      <c r="B79" s="209"/>
      <c r="C79" s="181" t="s">
        <v>156</v>
      </c>
      <c r="D79" s="195"/>
      <c r="E79" s="151"/>
      <c r="F79" s="151"/>
      <c r="G79" s="151"/>
      <c r="H79" s="164"/>
      <c r="I79" s="187"/>
      <c r="J79" s="183"/>
      <c r="K79" s="184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5"/>
    </row>
    <row r="80" spans="1:25" s="211" customFormat="1" ht="12.75" customHeight="1" hidden="1">
      <c r="A80" s="179"/>
      <c r="B80" s="209"/>
      <c r="C80" s="170"/>
      <c r="D80" s="193"/>
      <c r="E80" s="186"/>
      <c r="F80" s="186"/>
      <c r="G80" s="186"/>
      <c r="H80" s="173"/>
      <c r="I80" s="187"/>
      <c r="J80" s="173"/>
      <c r="K80" s="188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89"/>
    </row>
    <row r="81" spans="1:25" s="211" customFormat="1" ht="12.75" customHeight="1" hidden="1">
      <c r="A81" s="179"/>
      <c r="B81" s="209"/>
      <c r="C81" s="170"/>
      <c r="D81" s="170"/>
      <c r="E81" s="186"/>
      <c r="F81" s="186"/>
      <c r="G81" s="186"/>
      <c r="H81" s="173"/>
      <c r="I81" s="187"/>
      <c r="J81" s="173"/>
      <c r="K81" s="188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89"/>
    </row>
    <row r="82" spans="1:25" s="212" customFormat="1" ht="55.5">
      <c r="A82" s="179"/>
      <c r="B82" s="209"/>
      <c r="C82" s="181" t="s">
        <v>156</v>
      </c>
      <c r="D82" s="182" t="s">
        <v>207</v>
      </c>
      <c r="E82" s="151" t="s">
        <v>108</v>
      </c>
      <c r="F82" s="151">
        <v>2011</v>
      </c>
      <c r="G82" s="151">
        <v>2015</v>
      </c>
      <c r="H82" s="164">
        <f aca="true" t="shared" si="36" ref="H82:H103">SUM(J82:W82)-K82</f>
        <v>2230000</v>
      </c>
      <c r="I82" s="187"/>
      <c r="J82" s="183">
        <f aca="true" t="shared" si="37" ref="J82:X82">J83+J84</f>
        <v>0</v>
      </c>
      <c r="K82" s="184">
        <f t="shared" si="37"/>
        <v>0</v>
      </c>
      <c r="L82" s="183">
        <f t="shared" si="37"/>
        <v>230000</v>
      </c>
      <c r="M82" s="183">
        <f t="shared" si="37"/>
        <v>0</v>
      </c>
      <c r="N82" s="183">
        <f t="shared" si="37"/>
        <v>1000000</v>
      </c>
      <c r="O82" s="183">
        <f t="shared" si="37"/>
        <v>1000000</v>
      </c>
      <c r="P82" s="183">
        <f t="shared" si="37"/>
        <v>0</v>
      </c>
      <c r="Q82" s="183">
        <f t="shared" si="37"/>
        <v>0</v>
      </c>
      <c r="R82" s="183">
        <f t="shared" si="37"/>
        <v>0</v>
      </c>
      <c r="S82" s="183">
        <f t="shared" si="37"/>
        <v>0</v>
      </c>
      <c r="T82" s="183">
        <f t="shared" si="37"/>
        <v>0</v>
      </c>
      <c r="U82" s="183">
        <f t="shared" si="37"/>
        <v>0</v>
      </c>
      <c r="V82" s="183">
        <f t="shared" si="37"/>
        <v>0</v>
      </c>
      <c r="W82" s="183">
        <f t="shared" si="37"/>
        <v>0</v>
      </c>
      <c r="X82" s="183">
        <f t="shared" si="37"/>
        <v>2230000</v>
      </c>
      <c r="Y82" s="196"/>
    </row>
    <row r="83" spans="1:25" s="211" customFormat="1" ht="30.75" customHeight="1">
      <c r="A83" s="179"/>
      <c r="B83" s="209"/>
      <c r="C83" s="170"/>
      <c r="D83" s="193" t="s">
        <v>150</v>
      </c>
      <c r="E83" s="186" t="s">
        <v>108</v>
      </c>
      <c r="F83" s="186" t="s">
        <v>108</v>
      </c>
      <c r="G83" s="186" t="s">
        <v>108</v>
      </c>
      <c r="H83" s="173">
        <f t="shared" si="36"/>
        <v>0</v>
      </c>
      <c r="I83" s="187"/>
      <c r="J83" s="173"/>
      <c r="K83" s="188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>
        <f>SUM(L83:W83)</f>
        <v>0</v>
      </c>
      <c r="Y83" s="189"/>
    </row>
    <row r="84" spans="1:25" s="211" customFormat="1" ht="30.75" customHeight="1">
      <c r="A84" s="179"/>
      <c r="B84" s="209"/>
      <c r="C84" s="170"/>
      <c r="D84" s="170" t="s">
        <v>159</v>
      </c>
      <c r="E84" s="186" t="s">
        <v>108</v>
      </c>
      <c r="F84" s="186" t="s">
        <v>108</v>
      </c>
      <c r="G84" s="186" t="s">
        <v>108</v>
      </c>
      <c r="H84" s="173">
        <f t="shared" si="36"/>
        <v>2230000</v>
      </c>
      <c r="I84" s="187"/>
      <c r="J84" s="173"/>
      <c r="K84" s="188"/>
      <c r="L84" s="173">
        <v>230000</v>
      </c>
      <c r="M84" s="173">
        <v>0</v>
      </c>
      <c r="N84" s="173">
        <v>1000000</v>
      </c>
      <c r="O84" s="173">
        <v>1000000</v>
      </c>
      <c r="P84" s="198"/>
      <c r="Q84" s="198"/>
      <c r="R84" s="173"/>
      <c r="S84" s="173"/>
      <c r="T84" s="173"/>
      <c r="U84" s="173"/>
      <c r="V84" s="173"/>
      <c r="W84" s="173"/>
      <c r="X84" s="173">
        <f>SUM(L84:W84)</f>
        <v>2230000</v>
      </c>
      <c r="Y84" s="189"/>
    </row>
    <row r="85" spans="1:25" s="212" customFormat="1" ht="54">
      <c r="A85" s="179"/>
      <c r="B85" s="209"/>
      <c r="C85" s="181" t="s">
        <v>160</v>
      </c>
      <c r="D85" s="182" t="s">
        <v>208</v>
      </c>
      <c r="E85" s="151" t="s">
        <v>108</v>
      </c>
      <c r="F85" s="151">
        <v>2014</v>
      </c>
      <c r="G85" s="151">
        <v>2015</v>
      </c>
      <c r="H85" s="164">
        <f t="shared" si="36"/>
        <v>2000000</v>
      </c>
      <c r="I85" s="187"/>
      <c r="J85" s="183">
        <f>J86+J87</f>
        <v>0</v>
      </c>
      <c r="K85" s="184"/>
      <c r="L85" s="183">
        <f aca="true" t="shared" si="38" ref="L85:X85">L86+L87</f>
        <v>0</v>
      </c>
      <c r="M85" s="183">
        <f t="shared" si="38"/>
        <v>0</v>
      </c>
      <c r="N85" s="183">
        <f t="shared" si="38"/>
        <v>1800000</v>
      </c>
      <c r="O85" s="183">
        <f t="shared" si="38"/>
        <v>200000</v>
      </c>
      <c r="P85" s="183">
        <f t="shared" si="38"/>
        <v>0</v>
      </c>
      <c r="Q85" s="183">
        <f t="shared" si="38"/>
        <v>0</v>
      </c>
      <c r="R85" s="183">
        <f t="shared" si="38"/>
        <v>0</v>
      </c>
      <c r="S85" s="183">
        <f t="shared" si="38"/>
        <v>0</v>
      </c>
      <c r="T85" s="183">
        <f t="shared" si="38"/>
        <v>0</v>
      </c>
      <c r="U85" s="183">
        <f t="shared" si="38"/>
        <v>0</v>
      </c>
      <c r="V85" s="183">
        <f t="shared" si="38"/>
        <v>0</v>
      </c>
      <c r="W85" s="183">
        <f t="shared" si="38"/>
        <v>0</v>
      </c>
      <c r="X85" s="183">
        <f t="shared" si="38"/>
        <v>2000000</v>
      </c>
      <c r="Y85" s="196"/>
    </row>
    <row r="86" spans="1:25" s="211" customFormat="1" ht="30.75" customHeight="1">
      <c r="A86" s="179"/>
      <c r="B86" s="209"/>
      <c r="C86" s="170"/>
      <c r="D86" s="193" t="s">
        <v>150</v>
      </c>
      <c r="E86" s="186" t="s">
        <v>108</v>
      </c>
      <c r="F86" s="186" t="s">
        <v>108</v>
      </c>
      <c r="G86" s="186" t="s">
        <v>108</v>
      </c>
      <c r="H86" s="173">
        <f t="shared" si="36"/>
        <v>0</v>
      </c>
      <c r="I86" s="187"/>
      <c r="J86" s="173"/>
      <c r="K86" s="188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>
        <f>SUM(L86:W86)</f>
        <v>0</v>
      </c>
      <c r="Y86" s="189"/>
    </row>
    <row r="87" spans="1:25" s="211" customFormat="1" ht="30.75" customHeight="1">
      <c r="A87" s="179"/>
      <c r="B87" s="209"/>
      <c r="C87" s="170"/>
      <c r="D87" s="170" t="s">
        <v>159</v>
      </c>
      <c r="E87" s="186" t="s">
        <v>108</v>
      </c>
      <c r="F87" s="186" t="s">
        <v>108</v>
      </c>
      <c r="G87" s="186" t="s">
        <v>108</v>
      </c>
      <c r="H87" s="173">
        <f t="shared" si="36"/>
        <v>2000000</v>
      </c>
      <c r="I87" s="187"/>
      <c r="J87" s="173"/>
      <c r="K87" s="188"/>
      <c r="L87" s="173"/>
      <c r="M87" s="173"/>
      <c r="N87" s="173">
        <v>1800000</v>
      </c>
      <c r="O87" s="173">
        <v>200000</v>
      </c>
      <c r="P87" s="173"/>
      <c r="Q87" s="173"/>
      <c r="R87" s="173"/>
      <c r="S87" s="173"/>
      <c r="T87" s="173"/>
      <c r="U87" s="173"/>
      <c r="V87" s="173"/>
      <c r="W87" s="173"/>
      <c r="X87" s="173">
        <f>SUM(L87:W87)</f>
        <v>2000000</v>
      </c>
      <c r="Y87" s="189"/>
    </row>
    <row r="88" spans="1:25" s="211" customFormat="1" ht="81">
      <c r="A88" s="179"/>
      <c r="B88" s="209"/>
      <c r="C88" s="181" t="s">
        <v>163</v>
      </c>
      <c r="D88" s="182" t="s">
        <v>209</v>
      </c>
      <c r="E88" s="186" t="s">
        <v>108</v>
      </c>
      <c r="F88" s="151">
        <v>2016</v>
      </c>
      <c r="G88" s="151">
        <v>2017</v>
      </c>
      <c r="H88" s="164">
        <f t="shared" si="36"/>
        <v>300000</v>
      </c>
      <c r="I88" s="187"/>
      <c r="J88" s="183">
        <f>J89+J90</f>
        <v>0</v>
      </c>
      <c r="K88" s="184"/>
      <c r="L88" s="183">
        <f aca="true" t="shared" si="39" ref="L88:X88">L89+L90</f>
        <v>0</v>
      </c>
      <c r="M88" s="183">
        <f t="shared" si="39"/>
        <v>0</v>
      </c>
      <c r="N88" s="183">
        <f t="shared" si="39"/>
        <v>0</v>
      </c>
      <c r="O88" s="183">
        <f t="shared" si="39"/>
        <v>0</v>
      </c>
      <c r="P88" s="183">
        <f t="shared" si="39"/>
        <v>200000</v>
      </c>
      <c r="Q88" s="183">
        <f t="shared" si="39"/>
        <v>100000</v>
      </c>
      <c r="R88" s="183">
        <f t="shared" si="39"/>
        <v>0</v>
      </c>
      <c r="S88" s="183">
        <f t="shared" si="39"/>
        <v>0</v>
      </c>
      <c r="T88" s="183">
        <f t="shared" si="39"/>
        <v>0</v>
      </c>
      <c r="U88" s="183">
        <f t="shared" si="39"/>
        <v>0</v>
      </c>
      <c r="V88" s="183">
        <f t="shared" si="39"/>
        <v>0</v>
      </c>
      <c r="W88" s="183">
        <f t="shared" si="39"/>
        <v>0</v>
      </c>
      <c r="X88" s="183">
        <f t="shared" si="39"/>
        <v>300000</v>
      </c>
      <c r="Y88" s="189"/>
    </row>
    <row r="89" spans="1:25" s="211" customFormat="1" ht="30.75" customHeight="1">
      <c r="A89" s="179"/>
      <c r="B89" s="209"/>
      <c r="C89" s="170"/>
      <c r="D89" s="193" t="s">
        <v>150</v>
      </c>
      <c r="E89" s="186" t="s">
        <v>108</v>
      </c>
      <c r="F89" s="186" t="s">
        <v>108</v>
      </c>
      <c r="G89" s="186" t="s">
        <v>108</v>
      </c>
      <c r="H89" s="173">
        <f t="shared" si="36"/>
        <v>0</v>
      </c>
      <c r="I89" s="187"/>
      <c r="J89" s="173"/>
      <c r="K89" s="188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>
        <f>SUM(L89:W89)</f>
        <v>0</v>
      </c>
      <c r="Y89" s="189"/>
    </row>
    <row r="90" spans="1:25" s="211" customFormat="1" ht="30.75" customHeight="1">
      <c r="A90" s="179"/>
      <c r="B90" s="214"/>
      <c r="C90" s="170"/>
      <c r="D90" s="170" t="s">
        <v>159</v>
      </c>
      <c r="E90" s="186" t="s">
        <v>108</v>
      </c>
      <c r="F90" s="186" t="s">
        <v>108</v>
      </c>
      <c r="G90" s="186" t="s">
        <v>108</v>
      </c>
      <c r="H90" s="173">
        <f t="shared" si="36"/>
        <v>300000</v>
      </c>
      <c r="I90" s="215"/>
      <c r="J90" s="173"/>
      <c r="K90" s="216"/>
      <c r="L90" s="173"/>
      <c r="M90" s="173"/>
      <c r="N90" s="173"/>
      <c r="O90" s="173"/>
      <c r="P90" s="173">
        <v>200000</v>
      </c>
      <c r="Q90" s="173">
        <v>100000</v>
      </c>
      <c r="R90" s="173"/>
      <c r="S90" s="173"/>
      <c r="T90" s="173"/>
      <c r="U90" s="173"/>
      <c r="V90" s="173"/>
      <c r="W90" s="173"/>
      <c r="X90" s="173">
        <f>SUM(L90:W90)</f>
        <v>300000</v>
      </c>
      <c r="Y90" s="189"/>
    </row>
    <row r="91" spans="1:25" s="212" customFormat="1" ht="54">
      <c r="A91" s="179"/>
      <c r="B91" s="209"/>
      <c r="C91" s="181" t="s">
        <v>165</v>
      </c>
      <c r="D91" s="182" t="s">
        <v>210</v>
      </c>
      <c r="E91" s="151" t="s">
        <v>108</v>
      </c>
      <c r="F91" s="151">
        <v>2009</v>
      </c>
      <c r="G91" s="151">
        <v>2014</v>
      </c>
      <c r="H91" s="164">
        <f t="shared" si="36"/>
        <v>2427330</v>
      </c>
      <c r="I91" s="165">
        <f>K91/J91*100</f>
        <v>10.78209205371546</v>
      </c>
      <c r="J91" s="184">
        <f aca="true" t="shared" si="40" ref="J91:X91">J92+J93</f>
        <v>477330</v>
      </c>
      <c r="K91" s="184">
        <f t="shared" si="40"/>
        <v>51466.16</v>
      </c>
      <c r="L91" s="183">
        <f t="shared" si="40"/>
        <v>950000</v>
      </c>
      <c r="M91" s="183">
        <f t="shared" si="40"/>
        <v>0</v>
      </c>
      <c r="N91" s="183">
        <f t="shared" si="40"/>
        <v>1000000</v>
      </c>
      <c r="O91" s="183">
        <f t="shared" si="40"/>
        <v>0</v>
      </c>
      <c r="P91" s="183">
        <f t="shared" si="40"/>
        <v>0</v>
      </c>
      <c r="Q91" s="183">
        <f t="shared" si="40"/>
        <v>0</v>
      </c>
      <c r="R91" s="183">
        <f t="shared" si="40"/>
        <v>0</v>
      </c>
      <c r="S91" s="183">
        <f t="shared" si="40"/>
        <v>0</v>
      </c>
      <c r="T91" s="183">
        <f t="shared" si="40"/>
        <v>0</v>
      </c>
      <c r="U91" s="183">
        <f t="shared" si="40"/>
        <v>0</v>
      </c>
      <c r="V91" s="183">
        <f t="shared" si="40"/>
        <v>0</v>
      </c>
      <c r="W91" s="183">
        <f t="shared" si="40"/>
        <v>0</v>
      </c>
      <c r="X91" s="183">
        <f t="shared" si="40"/>
        <v>1950000</v>
      </c>
      <c r="Y91" s="196"/>
    </row>
    <row r="92" spans="1:25" s="211" customFormat="1" ht="30.75" customHeight="1">
      <c r="A92" s="179"/>
      <c r="B92" s="209"/>
      <c r="C92" s="170"/>
      <c r="D92" s="193" t="s">
        <v>150</v>
      </c>
      <c r="E92" s="186" t="s">
        <v>108</v>
      </c>
      <c r="F92" s="186" t="s">
        <v>108</v>
      </c>
      <c r="G92" s="186" t="s">
        <v>108</v>
      </c>
      <c r="H92" s="173">
        <f t="shared" si="36"/>
        <v>0</v>
      </c>
      <c r="I92" s="187"/>
      <c r="J92" s="173"/>
      <c r="K92" s="188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>
        <f>SUM(L92:W92)</f>
        <v>0</v>
      </c>
      <c r="Y92" s="189"/>
    </row>
    <row r="93" spans="1:25" s="211" customFormat="1" ht="30.75" customHeight="1">
      <c r="A93" s="179"/>
      <c r="B93" s="209"/>
      <c r="C93" s="170"/>
      <c r="D93" s="170" t="s">
        <v>159</v>
      </c>
      <c r="E93" s="186" t="s">
        <v>108</v>
      </c>
      <c r="F93" s="186" t="s">
        <v>108</v>
      </c>
      <c r="G93" s="186" t="s">
        <v>108</v>
      </c>
      <c r="H93" s="173">
        <f t="shared" si="36"/>
        <v>2427330</v>
      </c>
      <c r="I93" s="187">
        <f>K93/J93*100</f>
        <v>10.78209205371546</v>
      </c>
      <c r="J93" s="173">
        <v>477330</v>
      </c>
      <c r="K93" s="188">
        <v>51466.16</v>
      </c>
      <c r="L93" s="173">
        <v>950000</v>
      </c>
      <c r="M93" s="198"/>
      <c r="N93" s="173">
        <v>1000000</v>
      </c>
      <c r="O93" s="199"/>
      <c r="P93" s="173"/>
      <c r="Q93" s="173"/>
      <c r="R93" s="173"/>
      <c r="S93" s="173"/>
      <c r="T93" s="173"/>
      <c r="U93" s="173"/>
      <c r="V93" s="173"/>
      <c r="W93" s="173"/>
      <c r="X93" s="173">
        <f>SUM(L93:W93)</f>
        <v>1950000</v>
      </c>
      <c r="Y93" s="189"/>
    </row>
    <row r="94" spans="1:25" s="212" customFormat="1" ht="27.75">
      <c r="A94" s="179"/>
      <c r="B94" s="209"/>
      <c r="C94" s="181" t="s">
        <v>211</v>
      </c>
      <c r="D94" s="182" t="s">
        <v>212</v>
      </c>
      <c r="E94" s="151" t="s">
        <v>108</v>
      </c>
      <c r="F94" s="151">
        <v>2011</v>
      </c>
      <c r="G94" s="151">
        <v>2012</v>
      </c>
      <c r="H94" s="164">
        <f t="shared" si="36"/>
        <v>1437515</v>
      </c>
      <c r="I94" s="165">
        <f>K94/J94*100</f>
        <v>0</v>
      </c>
      <c r="J94" s="184">
        <f aca="true" t="shared" si="41" ref="J94:X94">J95+J96</f>
        <v>37515</v>
      </c>
      <c r="K94" s="184">
        <f t="shared" si="41"/>
        <v>0</v>
      </c>
      <c r="L94" s="183">
        <f t="shared" si="41"/>
        <v>1400000</v>
      </c>
      <c r="M94" s="183">
        <f t="shared" si="41"/>
        <v>0</v>
      </c>
      <c r="N94" s="183">
        <f t="shared" si="41"/>
        <v>0</v>
      </c>
      <c r="O94" s="183">
        <f t="shared" si="41"/>
        <v>0</v>
      </c>
      <c r="P94" s="183">
        <f t="shared" si="41"/>
        <v>0</v>
      </c>
      <c r="Q94" s="183">
        <f t="shared" si="41"/>
        <v>0</v>
      </c>
      <c r="R94" s="183">
        <f t="shared" si="41"/>
        <v>0</v>
      </c>
      <c r="S94" s="183">
        <f t="shared" si="41"/>
        <v>0</v>
      </c>
      <c r="T94" s="183">
        <f t="shared" si="41"/>
        <v>0</v>
      </c>
      <c r="U94" s="183">
        <f t="shared" si="41"/>
        <v>0</v>
      </c>
      <c r="V94" s="183">
        <f t="shared" si="41"/>
        <v>0</v>
      </c>
      <c r="W94" s="183">
        <f t="shared" si="41"/>
        <v>0</v>
      </c>
      <c r="X94" s="183">
        <f t="shared" si="41"/>
        <v>1400000</v>
      </c>
      <c r="Y94" s="196"/>
    </row>
    <row r="95" spans="1:25" s="211" customFormat="1" ht="27.75">
      <c r="A95" s="179"/>
      <c r="B95" s="209"/>
      <c r="C95" s="170"/>
      <c r="D95" s="193" t="s">
        <v>150</v>
      </c>
      <c r="E95" s="186" t="s">
        <v>108</v>
      </c>
      <c r="F95" s="186" t="s">
        <v>108</v>
      </c>
      <c r="G95" s="186" t="s">
        <v>108</v>
      </c>
      <c r="H95" s="173">
        <f t="shared" si="36"/>
        <v>0</v>
      </c>
      <c r="I95" s="187"/>
      <c r="J95" s="173"/>
      <c r="K95" s="188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>
        <f>SUM(L95:W95)</f>
        <v>0</v>
      </c>
      <c r="Y95" s="189"/>
    </row>
    <row r="96" spans="1:25" s="211" customFormat="1" ht="30.75" customHeight="1">
      <c r="A96" s="179"/>
      <c r="B96" s="209"/>
      <c r="C96" s="170"/>
      <c r="D96" s="170" t="s">
        <v>159</v>
      </c>
      <c r="E96" s="186" t="s">
        <v>108</v>
      </c>
      <c r="F96" s="186" t="s">
        <v>108</v>
      </c>
      <c r="G96" s="186" t="s">
        <v>108</v>
      </c>
      <c r="H96" s="173">
        <f t="shared" si="36"/>
        <v>1437515</v>
      </c>
      <c r="I96" s="187">
        <f>K96/J96*100</f>
        <v>0</v>
      </c>
      <c r="J96" s="173">
        <v>37515</v>
      </c>
      <c r="K96" s="188">
        <v>0</v>
      </c>
      <c r="L96" s="173">
        <v>1400000</v>
      </c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>
        <f>SUM(L96:W96)</f>
        <v>1400000</v>
      </c>
      <c r="Y96" s="189"/>
    </row>
    <row r="97" spans="1:25" s="212" customFormat="1" ht="57.75" customHeight="1">
      <c r="A97" s="179"/>
      <c r="B97" s="209"/>
      <c r="C97" s="181" t="s">
        <v>213</v>
      </c>
      <c r="D97" s="182" t="s">
        <v>214</v>
      </c>
      <c r="E97" s="151" t="s">
        <v>108</v>
      </c>
      <c r="F97" s="151">
        <v>2016</v>
      </c>
      <c r="G97" s="151">
        <v>2017</v>
      </c>
      <c r="H97" s="164">
        <f t="shared" si="36"/>
        <v>600000</v>
      </c>
      <c r="I97" s="187"/>
      <c r="J97" s="183">
        <f aca="true" t="shared" si="42" ref="J97:X97">J98+J99</f>
        <v>0</v>
      </c>
      <c r="K97" s="184">
        <f t="shared" si="42"/>
        <v>0</v>
      </c>
      <c r="L97" s="183">
        <f t="shared" si="42"/>
        <v>0</v>
      </c>
      <c r="M97" s="183">
        <f t="shared" si="42"/>
        <v>0</v>
      </c>
      <c r="N97" s="183">
        <f t="shared" si="42"/>
        <v>0</v>
      </c>
      <c r="O97" s="183">
        <f t="shared" si="42"/>
        <v>0</v>
      </c>
      <c r="P97" s="183">
        <f t="shared" si="42"/>
        <v>300000</v>
      </c>
      <c r="Q97" s="183">
        <f t="shared" si="42"/>
        <v>300000</v>
      </c>
      <c r="R97" s="183">
        <f t="shared" si="42"/>
        <v>0</v>
      </c>
      <c r="S97" s="183">
        <f t="shared" si="42"/>
        <v>0</v>
      </c>
      <c r="T97" s="183">
        <f t="shared" si="42"/>
        <v>0</v>
      </c>
      <c r="U97" s="183">
        <f t="shared" si="42"/>
        <v>0</v>
      </c>
      <c r="V97" s="183">
        <f t="shared" si="42"/>
        <v>0</v>
      </c>
      <c r="W97" s="183">
        <f t="shared" si="42"/>
        <v>0</v>
      </c>
      <c r="X97" s="183">
        <f t="shared" si="42"/>
        <v>600000</v>
      </c>
      <c r="Y97" s="196"/>
    </row>
    <row r="98" spans="1:25" s="211" customFormat="1" ht="30.75" customHeight="1">
      <c r="A98" s="179"/>
      <c r="B98" s="209"/>
      <c r="C98" s="170"/>
      <c r="D98" s="193" t="s">
        <v>150</v>
      </c>
      <c r="E98" s="186" t="s">
        <v>108</v>
      </c>
      <c r="F98" s="186" t="s">
        <v>108</v>
      </c>
      <c r="G98" s="186" t="s">
        <v>108</v>
      </c>
      <c r="H98" s="173">
        <f t="shared" si="36"/>
        <v>0</v>
      </c>
      <c r="I98" s="187"/>
      <c r="J98" s="173"/>
      <c r="K98" s="188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>
        <f>SUM(L98:W98)</f>
        <v>0</v>
      </c>
      <c r="Y98" s="189"/>
    </row>
    <row r="99" spans="1:25" s="211" customFormat="1" ht="30.75" customHeight="1">
      <c r="A99" s="179"/>
      <c r="B99" s="209"/>
      <c r="C99" s="170"/>
      <c r="D99" s="170" t="s">
        <v>159</v>
      </c>
      <c r="E99" s="186" t="s">
        <v>108</v>
      </c>
      <c r="F99" s="186" t="s">
        <v>108</v>
      </c>
      <c r="G99" s="186" t="s">
        <v>108</v>
      </c>
      <c r="H99" s="173">
        <f t="shared" si="36"/>
        <v>600000</v>
      </c>
      <c r="I99" s="187"/>
      <c r="J99" s="173"/>
      <c r="K99" s="188"/>
      <c r="L99" s="173"/>
      <c r="M99" s="173"/>
      <c r="N99" s="173"/>
      <c r="O99" s="173"/>
      <c r="P99" s="173">
        <v>300000</v>
      </c>
      <c r="Q99" s="173">
        <v>300000</v>
      </c>
      <c r="R99" s="173"/>
      <c r="S99" s="173"/>
      <c r="T99" s="173"/>
      <c r="U99" s="173"/>
      <c r="V99" s="173"/>
      <c r="W99" s="173"/>
      <c r="X99" s="173">
        <f>SUM(L99:W99)</f>
        <v>600000</v>
      </c>
      <c r="Y99" s="189"/>
    </row>
    <row r="100" spans="1:25" s="211" customFormat="1" ht="30.75" customHeight="1">
      <c r="A100" s="179"/>
      <c r="B100" s="209"/>
      <c r="C100" s="181" t="s">
        <v>215</v>
      </c>
      <c r="D100" s="163" t="s">
        <v>216</v>
      </c>
      <c r="E100" s="151" t="s">
        <v>108</v>
      </c>
      <c r="F100" s="151">
        <v>2005</v>
      </c>
      <c r="G100" s="151">
        <v>2015</v>
      </c>
      <c r="H100" s="164">
        <f t="shared" si="36"/>
        <v>433245</v>
      </c>
      <c r="I100" s="165">
        <f>K100/J100*100</f>
        <v>0</v>
      </c>
      <c r="J100" s="183">
        <f aca="true" t="shared" si="43" ref="J100:X100">J101+J102</f>
        <v>92905</v>
      </c>
      <c r="K100" s="184">
        <f t="shared" si="43"/>
        <v>0</v>
      </c>
      <c r="L100" s="183">
        <f t="shared" si="43"/>
        <v>95000</v>
      </c>
      <c r="M100" s="183">
        <f t="shared" si="43"/>
        <v>95000</v>
      </c>
      <c r="N100" s="183">
        <f t="shared" si="43"/>
        <v>95000</v>
      </c>
      <c r="O100" s="183">
        <f t="shared" si="43"/>
        <v>55340</v>
      </c>
      <c r="P100" s="183">
        <f t="shared" si="43"/>
        <v>0</v>
      </c>
      <c r="Q100" s="183">
        <f t="shared" si="43"/>
        <v>0</v>
      </c>
      <c r="R100" s="183">
        <f t="shared" si="43"/>
        <v>0</v>
      </c>
      <c r="S100" s="183">
        <f t="shared" si="43"/>
        <v>0</v>
      </c>
      <c r="T100" s="183">
        <f t="shared" si="43"/>
        <v>0</v>
      </c>
      <c r="U100" s="183">
        <f t="shared" si="43"/>
        <v>0</v>
      </c>
      <c r="V100" s="183">
        <f t="shared" si="43"/>
        <v>0</v>
      </c>
      <c r="W100" s="183">
        <f t="shared" si="43"/>
        <v>0</v>
      </c>
      <c r="X100" s="183">
        <f t="shared" si="43"/>
        <v>340340</v>
      </c>
      <c r="Y100" s="189"/>
    </row>
    <row r="101" spans="1:25" s="211" customFormat="1" ht="30.75" customHeight="1">
      <c r="A101" s="179"/>
      <c r="B101" s="209"/>
      <c r="C101" s="170"/>
      <c r="D101" s="193" t="s">
        <v>150</v>
      </c>
      <c r="E101" s="186" t="s">
        <v>108</v>
      </c>
      <c r="F101" s="186" t="s">
        <v>108</v>
      </c>
      <c r="G101" s="186" t="s">
        <v>108</v>
      </c>
      <c r="H101" s="173">
        <f t="shared" si="36"/>
        <v>0</v>
      </c>
      <c r="I101" s="187"/>
      <c r="J101" s="173"/>
      <c r="K101" s="188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>
        <f>SUM(L101:W101)</f>
        <v>0</v>
      </c>
      <c r="Y101" s="189"/>
    </row>
    <row r="102" spans="1:25" s="211" customFormat="1" ht="30.75" customHeight="1">
      <c r="A102" s="179"/>
      <c r="B102" s="209"/>
      <c r="C102" s="170"/>
      <c r="D102" s="170" t="s">
        <v>159</v>
      </c>
      <c r="E102" s="186" t="s">
        <v>108</v>
      </c>
      <c r="F102" s="186" t="s">
        <v>108</v>
      </c>
      <c r="G102" s="186" t="s">
        <v>108</v>
      </c>
      <c r="H102" s="173">
        <f t="shared" si="36"/>
        <v>433245</v>
      </c>
      <c r="I102" s="187">
        <f>K102/J102*100</f>
        <v>0</v>
      </c>
      <c r="J102" s="173">
        <v>92905</v>
      </c>
      <c r="K102" s="188">
        <v>0</v>
      </c>
      <c r="L102" s="173">
        <v>95000</v>
      </c>
      <c r="M102" s="173">
        <v>95000</v>
      </c>
      <c r="N102" s="173">
        <v>95000</v>
      </c>
      <c r="O102" s="173">
        <v>55340</v>
      </c>
      <c r="P102" s="173"/>
      <c r="Q102" s="173"/>
      <c r="R102" s="173"/>
      <c r="S102" s="173"/>
      <c r="T102" s="173"/>
      <c r="U102" s="173"/>
      <c r="V102" s="173"/>
      <c r="W102" s="173"/>
      <c r="X102" s="173">
        <f>SUM(L102:W102)</f>
        <v>340340</v>
      </c>
      <c r="Y102" s="189"/>
    </row>
    <row r="103" spans="1:25" s="212" customFormat="1" ht="54">
      <c r="A103" s="179"/>
      <c r="B103" s="209"/>
      <c r="C103" s="217" t="s">
        <v>217</v>
      </c>
      <c r="D103" s="182" t="s">
        <v>218</v>
      </c>
      <c r="E103" s="151" t="s">
        <v>108</v>
      </c>
      <c r="F103" s="151">
        <v>2013</v>
      </c>
      <c r="G103" s="151">
        <v>2015</v>
      </c>
      <c r="H103" s="164">
        <f t="shared" si="36"/>
        <v>840000</v>
      </c>
      <c r="I103" s="165"/>
      <c r="J103" s="183">
        <f>J104+J105</f>
        <v>0</v>
      </c>
      <c r="K103" s="184"/>
      <c r="L103" s="183">
        <f aca="true" t="shared" si="44" ref="L103:X103">L104+L105</f>
        <v>0</v>
      </c>
      <c r="M103" s="183">
        <f t="shared" si="44"/>
        <v>40000</v>
      </c>
      <c r="N103" s="183">
        <f t="shared" si="44"/>
        <v>400000</v>
      </c>
      <c r="O103" s="183">
        <f t="shared" si="44"/>
        <v>400000</v>
      </c>
      <c r="P103" s="183">
        <f t="shared" si="44"/>
        <v>0</v>
      </c>
      <c r="Q103" s="183">
        <f t="shared" si="44"/>
        <v>0</v>
      </c>
      <c r="R103" s="183">
        <f t="shared" si="44"/>
        <v>0</v>
      </c>
      <c r="S103" s="183">
        <f t="shared" si="44"/>
        <v>0</v>
      </c>
      <c r="T103" s="183">
        <f t="shared" si="44"/>
        <v>0</v>
      </c>
      <c r="U103" s="183">
        <f t="shared" si="44"/>
        <v>0</v>
      </c>
      <c r="V103" s="183">
        <f t="shared" si="44"/>
        <v>0</v>
      </c>
      <c r="W103" s="183">
        <f t="shared" si="44"/>
        <v>0</v>
      </c>
      <c r="X103" s="183">
        <f t="shared" si="44"/>
        <v>840000</v>
      </c>
      <c r="Y103" s="196"/>
    </row>
    <row r="104" spans="1:25" s="211" customFormat="1" ht="30.75" customHeight="1">
      <c r="A104" s="179"/>
      <c r="B104" s="209"/>
      <c r="C104" s="218"/>
      <c r="D104" s="193" t="s">
        <v>150</v>
      </c>
      <c r="E104" s="186" t="s">
        <v>108</v>
      </c>
      <c r="F104" s="186" t="s">
        <v>108</v>
      </c>
      <c r="G104" s="186" t="s">
        <v>108</v>
      </c>
      <c r="H104" s="173"/>
      <c r="I104" s="187"/>
      <c r="J104" s="173"/>
      <c r="K104" s="188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>
        <f>SUM(L104:W104)</f>
        <v>0</v>
      </c>
      <c r="Y104" s="189"/>
    </row>
    <row r="105" spans="1:25" s="211" customFormat="1" ht="30.75" customHeight="1">
      <c r="A105" s="179"/>
      <c r="B105" s="209"/>
      <c r="C105" s="218"/>
      <c r="D105" s="170" t="s">
        <v>159</v>
      </c>
      <c r="E105" s="186" t="s">
        <v>108</v>
      </c>
      <c r="F105" s="186" t="s">
        <v>108</v>
      </c>
      <c r="G105" s="186" t="s">
        <v>108</v>
      </c>
      <c r="H105" s="173">
        <f>SUM(J105:W105)-K105</f>
        <v>840000</v>
      </c>
      <c r="I105" s="187"/>
      <c r="J105" s="173"/>
      <c r="K105" s="188"/>
      <c r="L105" s="173"/>
      <c r="M105" s="173">
        <v>40000</v>
      </c>
      <c r="N105" s="173">
        <v>400000</v>
      </c>
      <c r="O105" s="173">
        <v>400000</v>
      </c>
      <c r="P105" s="173"/>
      <c r="Q105" s="173"/>
      <c r="R105" s="173"/>
      <c r="S105" s="173"/>
      <c r="T105" s="173"/>
      <c r="U105" s="173"/>
      <c r="V105" s="173"/>
      <c r="W105" s="173"/>
      <c r="X105" s="173">
        <f>SUM(L105:W105)</f>
        <v>840000</v>
      </c>
      <c r="Y105" s="189"/>
    </row>
    <row r="106" spans="1:25" s="211" customFormat="1" ht="54">
      <c r="A106" s="179"/>
      <c r="B106" s="209"/>
      <c r="C106" s="217" t="s">
        <v>219</v>
      </c>
      <c r="D106" s="163" t="s">
        <v>220</v>
      </c>
      <c r="E106" s="151" t="s">
        <v>108</v>
      </c>
      <c r="F106" s="151">
        <v>2011</v>
      </c>
      <c r="G106" s="151">
        <v>2015</v>
      </c>
      <c r="H106" s="164">
        <f>SUM(J106:W106)-K106</f>
        <v>1791250</v>
      </c>
      <c r="I106" s="219">
        <f>K106/J106*100</f>
        <v>0</v>
      </c>
      <c r="J106" s="183">
        <f aca="true" t="shared" si="45" ref="J106:X106">J107+J108</f>
        <v>235000</v>
      </c>
      <c r="K106" s="220">
        <f t="shared" si="45"/>
        <v>0</v>
      </c>
      <c r="L106" s="183">
        <f t="shared" si="45"/>
        <v>416250</v>
      </c>
      <c r="M106" s="183">
        <f t="shared" si="45"/>
        <v>400000</v>
      </c>
      <c r="N106" s="183">
        <f t="shared" si="45"/>
        <v>380000</v>
      </c>
      <c r="O106" s="183">
        <f t="shared" si="45"/>
        <v>360000</v>
      </c>
      <c r="P106" s="183">
        <f t="shared" si="45"/>
        <v>0</v>
      </c>
      <c r="Q106" s="183">
        <f t="shared" si="45"/>
        <v>0</v>
      </c>
      <c r="R106" s="183">
        <f t="shared" si="45"/>
        <v>0</v>
      </c>
      <c r="S106" s="183">
        <f t="shared" si="45"/>
        <v>0</v>
      </c>
      <c r="T106" s="183">
        <f t="shared" si="45"/>
        <v>0</v>
      </c>
      <c r="U106" s="183">
        <f t="shared" si="45"/>
        <v>0</v>
      </c>
      <c r="V106" s="183">
        <f t="shared" si="45"/>
        <v>0</v>
      </c>
      <c r="W106" s="183">
        <f t="shared" si="45"/>
        <v>0</v>
      </c>
      <c r="X106" s="183">
        <f t="shared" si="45"/>
        <v>1556250</v>
      </c>
      <c r="Y106" s="189"/>
    </row>
    <row r="107" spans="1:25" s="211" customFormat="1" ht="30.75" customHeight="1">
      <c r="A107" s="179"/>
      <c r="B107" s="209"/>
      <c r="C107" s="170"/>
      <c r="D107" s="193" t="s">
        <v>150</v>
      </c>
      <c r="E107" s="186" t="s">
        <v>108</v>
      </c>
      <c r="F107" s="186" t="s">
        <v>108</v>
      </c>
      <c r="G107" s="151" t="s">
        <v>108</v>
      </c>
      <c r="H107" s="173"/>
      <c r="I107" s="215"/>
      <c r="J107" s="173"/>
      <c r="K107" s="216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>
        <f>SUM(H107:V107)</f>
        <v>0</v>
      </c>
      <c r="X107" s="173">
        <f>SUM(L107:W107)</f>
        <v>0</v>
      </c>
      <c r="Y107" s="189"/>
    </row>
    <row r="108" spans="1:25" s="211" customFormat="1" ht="30.75" customHeight="1">
      <c r="A108" s="179"/>
      <c r="B108" s="209"/>
      <c r="C108" s="170"/>
      <c r="D108" s="170" t="s">
        <v>159</v>
      </c>
      <c r="E108" s="186" t="s">
        <v>108</v>
      </c>
      <c r="F108" s="186" t="s">
        <v>108</v>
      </c>
      <c r="G108" s="186" t="s">
        <v>108</v>
      </c>
      <c r="H108" s="173">
        <f aca="true" t="shared" si="46" ref="H108:H117">SUM(J108:W108)-K108</f>
        <v>1791250</v>
      </c>
      <c r="I108" s="215">
        <f>K108/J108*100</f>
        <v>0</v>
      </c>
      <c r="J108" s="173">
        <v>235000</v>
      </c>
      <c r="K108" s="216">
        <v>0</v>
      </c>
      <c r="L108" s="173">
        <v>416250</v>
      </c>
      <c r="M108" s="173">
        <v>400000</v>
      </c>
      <c r="N108" s="173">
        <v>380000</v>
      </c>
      <c r="O108" s="173">
        <v>360000</v>
      </c>
      <c r="P108" s="173"/>
      <c r="Q108" s="173"/>
      <c r="R108" s="173"/>
      <c r="S108" s="173"/>
      <c r="T108" s="173"/>
      <c r="U108" s="173"/>
      <c r="V108" s="173"/>
      <c r="W108" s="173"/>
      <c r="X108" s="173">
        <f>SUM(L108:W108)</f>
        <v>1556250</v>
      </c>
      <c r="Y108" s="189"/>
    </row>
    <row r="109" spans="1:25" s="211" customFormat="1" ht="27.75">
      <c r="A109" s="179"/>
      <c r="B109" s="209"/>
      <c r="C109" s="181" t="s">
        <v>221</v>
      </c>
      <c r="D109" s="163" t="s">
        <v>222</v>
      </c>
      <c r="E109" s="151" t="s">
        <v>108</v>
      </c>
      <c r="F109" s="151">
        <v>2014</v>
      </c>
      <c r="G109" s="151">
        <v>2015</v>
      </c>
      <c r="H109" s="164">
        <f t="shared" si="46"/>
        <v>5000000</v>
      </c>
      <c r="I109" s="165"/>
      <c r="J109" s="183">
        <f>J110+J111</f>
        <v>0</v>
      </c>
      <c r="K109" s="184"/>
      <c r="L109" s="183">
        <f aca="true" t="shared" si="47" ref="L109:X109">L110+L111</f>
        <v>0</v>
      </c>
      <c r="M109" s="183">
        <f t="shared" si="47"/>
        <v>0</v>
      </c>
      <c r="N109" s="183">
        <f t="shared" si="47"/>
        <v>1000000</v>
      </c>
      <c r="O109" s="183">
        <f t="shared" si="47"/>
        <v>4000000</v>
      </c>
      <c r="P109" s="183">
        <f t="shared" si="47"/>
        <v>0</v>
      </c>
      <c r="Q109" s="183">
        <f t="shared" si="47"/>
        <v>0</v>
      </c>
      <c r="R109" s="183">
        <f t="shared" si="47"/>
        <v>0</v>
      </c>
      <c r="S109" s="183">
        <f t="shared" si="47"/>
        <v>0</v>
      </c>
      <c r="T109" s="183">
        <f t="shared" si="47"/>
        <v>0</v>
      </c>
      <c r="U109" s="183">
        <f t="shared" si="47"/>
        <v>0</v>
      </c>
      <c r="V109" s="183">
        <f t="shared" si="47"/>
        <v>0</v>
      </c>
      <c r="W109" s="183">
        <f t="shared" si="47"/>
        <v>0</v>
      </c>
      <c r="X109" s="183">
        <f t="shared" si="47"/>
        <v>5000000</v>
      </c>
      <c r="Y109" s="189"/>
    </row>
    <row r="110" spans="1:25" s="211" customFormat="1" ht="30.75" customHeight="1">
      <c r="A110" s="179"/>
      <c r="B110" s="209"/>
      <c r="C110" s="170"/>
      <c r="D110" s="193" t="s">
        <v>150</v>
      </c>
      <c r="E110" s="186" t="s">
        <v>108</v>
      </c>
      <c r="F110" s="186" t="s">
        <v>108</v>
      </c>
      <c r="G110" s="186" t="s">
        <v>108</v>
      </c>
      <c r="H110" s="173">
        <f t="shared" si="46"/>
        <v>0</v>
      </c>
      <c r="I110" s="187"/>
      <c r="J110" s="173"/>
      <c r="K110" s="188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>
        <f>SUM(L110:W110)</f>
        <v>0</v>
      </c>
      <c r="Y110" s="189"/>
    </row>
    <row r="111" spans="1:25" s="211" customFormat="1" ht="30.75" customHeight="1">
      <c r="A111" s="179"/>
      <c r="B111" s="209"/>
      <c r="C111" s="170"/>
      <c r="D111" s="170" t="s">
        <v>159</v>
      </c>
      <c r="E111" s="186" t="s">
        <v>108</v>
      </c>
      <c r="F111" s="186" t="s">
        <v>108</v>
      </c>
      <c r="G111" s="186" t="s">
        <v>108</v>
      </c>
      <c r="H111" s="173">
        <f t="shared" si="46"/>
        <v>5000000</v>
      </c>
      <c r="I111" s="187"/>
      <c r="J111" s="173"/>
      <c r="K111" s="188"/>
      <c r="L111" s="173"/>
      <c r="M111" s="173"/>
      <c r="N111" s="173">
        <v>1000000</v>
      </c>
      <c r="O111" s="173">
        <v>4000000</v>
      </c>
      <c r="P111" s="173"/>
      <c r="Q111" s="173"/>
      <c r="R111" s="173"/>
      <c r="S111" s="173"/>
      <c r="T111" s="173"/>
      <c r="U111" s="173"/>
      <c r="V111" s="173"/>
      <c r="W111" s="173"/>
      <c r="X111" s="173">
        <f>SUM(L111:W111)</f>
        <v>5000000</v>
      </c>
      <c r="Y111" s="189"/>
    </row>
    <row r="112" spans="1:25" s="212" customFormat="1" ht="54">
      <c r="A112" s="207"/>
      <c r="B112" s="209"/>
      <c r="C112" s="181" t="s">
        <v>223</v>
      </c>
      <c r="D112" s="163" t="s">
        <v>224</v>
      </c>
      <c r="E112" s="151" t="s">
        <v>108</v>
      </c>
      <c r="F112" s="151">
        <v>2013</v>
      </c>
      <c r="G112" s="151">
        <v>2014</v>
      </c>
      <c r="H112" s="164">
        <f t="shared" si="46"/>
        <v>3400000</v>
      </c>
      <c r="I112" s="183">
        <f aca="true" t="shared" si="48" ref="I112:X112">I113+I114</f>
        <v>0</v>
      </c>
      <c r="J112" s="183">
        <f t="shared" si="48"/>
        <v>0</v>
      </c>
      <c r="K112" s="183">
        <f t="shared" si="48"/>
        <v>3400000</v>
      </c>
      <c r="L112" s="183">
        <f t="shared" si="48"/>
        <v>0</v>
      </c>
      <c r="M112" s="183">
        <f t="shared" si="48"/>
        <v>400000</v>
      </c>
      <c r="N112" s="183">
        <f t="shared" si="48"/>
        <v>3000000</v>
      </c>
      <c r="O112" s="183">
        <f t="shared" si="48"/>
        <v>0</v>
      </c>
      <c r="P112" s="183">
        <f t="shared" si="48"/>
        <v>0</v>
      </c>
      <c r="Q112" s="183">
        <f t="shared" si="48"/>
        <v>0</v>
      </c>
      <c r="R112" s="183">
        <f t="shared" si="48"/>
        <v>0</v>
      </c>
      <c r="S112" s="183">
        <f t="shared" si="48"/>
        <v>0</v>
      </c>
      <c r="T112" s="183">
        <f t="shared" si="48"/>
        <v>0</v>
      </c>
      <c r="U112" s="183">
        <f t="shared" si="48"/>
        <v>0</v>
      </c>
      <c r="V112" s="183">
        <f t="shared" si="48"/>
        <v>0</v>
      </c>
      <c r="W112" s="183">
        <f t="shared" si="48"/>
        <v>0</v>
      </c>
      <c r="X112" s="183">
        <f t="shared" si="48"/>
        <v>3400000</v>
      </c>
      <c r="Y112" s="196"/>
    </row>
    <row r="113" spans="1:25" s="211" customFormat="1" ht="30.75" customHeight="1">
      <c r="A113" s="179"/>
      <c r="B113" s="209"/>
      <c r="C113" s="201"/>
      <c r="D113" s="193" t="s">
        <v>150</v>
      </c>
      <c r="E113" s="186" t="s">
        <v>108</v>
      </c>
      <c r="F113" s="186" t="s">
        <v>108</v>
      </c>
      <c r="G113" s="186" t="s">
        <v>108</v>
      </c>
      <c r="H113" s="173">
        <f t="shared" si="46"/>
        <v>0</v>
      </c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>
        <f>SUM(I113:U113)</f>
        <v>0</v>
      </c>
      <c r="W113" s="173"/>
      <c r="X113" s="173">
        <f>SUM(L113:W113)</f>
        <v>0</v>
      </c>
      <c r="Y113" s="189"/>
    </row>
    <row r="114" spans="1:25" s="211" customFormat="1" ht="30.75" customHeight="1">
      <c r="A114" s="179"/>
      <c r="B114" s="214"/>
      <c r="C114" s="201"/>
      <c r="D114" s="170" t="s">
        <v>159</v>
      </c>
      <c r="E114" s="186" t="s">
        <v>108</v>
      </c>
      <c r="F114" s="186" t="s">
        <v>108</v>
      </c>
      <c r="G114" s="186" t="s">
        <v>108</v>
      </c>
      <c r="H114" s="173">
        <f t="shared" si="46"/>
        <v>3400000</v>
      </c>
      <c r="I114" s="173"/>
      <c r="J114" s="173"/>
      <c r="K114" s="173">
        <v>3400000</v>
      </c>
      <c r="L114" s="173"/>
      <c r="M114" s="173">
        <v>400000</v>
      </c>
      <c r="N114" s="173">
        <v>3000000</v>
      </c>
      <c r="O114" s="173"/>
      <c r="P114" s="173"/>
      <c r="Q114" s="173"/>
      <c r="R114" s="173"/>
      <c r="S114" s="173"/>
      <c r="T114" s="173"/>
      <c r="U114" s="173"/>
      <c r="V114" s="173"/>
      <c r="W114" s="173"/>
      <c r="X114" s="173">
        <f>SUM(L114:W114)</f>
        <v>3400000</v>
      </c>
      <c r="Y114" s="189"/>
    </row>
    <row r="115" spans="1:25" s="213" customFormat="1" ht="95.25" customHeight="1">
      <c r="A115" s="179"/>
      <c r="B115" s="181" t="s">
        <v>173</v>
      </c>
      <c r="C115" s="264" t="s">
        <v>174</v>
      </c>
      <c r="D115" s="264"/>
      <c r="E115" s="151" t="s">
        <v>162</v>
      </c>
      <c r="F115" s="152" t="s">
        <v>108</v>
      </c>
      <c r="G115" s="152" t="s">
        <v>108</v>
      </c>
      <c r="H115" s="164">
        <f t="shared" si="46"/>
        <v>21972004.3697824</v>
      </c>
      <c r="I115" s="165">
        <f>K115/J115*100</f>
        <v>49.13375837939721</v>
      </c>
      <c r="J115" s="183">
        <f aca="true" t="shared" si="49" ref="J115:X115">J116+J117</f>
        <v>1387928</v>
      </c>
      <c r="K115" s="184">
        <f t="shared" si="49"/>
        <v>681941.1900000001</v>
      </c>
      <c r="L115" s="183">
        <f t="shared" si="49"/>
        <v>1500941</v>
      </c>
      <c r="M115" s="183">
        <f t="shared" si="49"/>
        <v>1538188.5</v>
      </c>
      <c r="N115" s="183">
        <f t="shared" si="49"/>
        <v>1567326.1875</v>
      </c>
      <c r="O115" s="183">
        <f t="shared" si="49"/>
        <v>1606459.3421875</v>
      </c>
      <c r="P115" s="183">
        <f t="shared" si="49"/>
        <v>1646570.8257421877</v>
      </c>
      <c r="Q115" s="183">
        <f t="shared" si="49"/>
        <v>1687685.0963857423</v>
      </c>
      <c r="R115" s="183">
        <f t="shared" si="49"/>
        <v>1727827.2237953856</v>
      </c>
      <c r="S115" s="183">
        <f t="shared" si="49"/>
        <v>1771022.9043902704</v>
      </c>
      <c r="T115" s="183">
        <f t="shared" si="49"/>
        <v>1815298.477000027</v>
      </c>
      <c r="U115" s="183">
        <f t="shared" si="49"/>
        <v>1860680.9389250278</v>
      </c>
      <c r="V115" s="183">
        <f t="shared" si="49"/>
        <v>1907197.9623981533</v>
      </c>
      <c r="W115" s="183">
        <f t="shared" si="49"/>
        <v>1954877.9114581072</v>
      </c>
      <c r="X115" s="183">
        <f t="shared" si="49"/>
        <v>20584076.369782403</v>
      </c>
      <c r="Y115" s="185"/>
    </row>
    <row r="116" spans="1:25" s="212" customFormat="1" ht="30.75" customHeight="1">
      <c r="A116" s="179"/>
      <c r="B116" s="209"/>
      <c r="C116" s="264" t="s">
        <v>175</v>
      </c>
      <c r="D116" s="264"/>
      <c r="E116" s="152" t="s">
        <v>108</v>
      </c>
      <c r="F116" s="152" t="s">
        <v>108</v>
      </c>
      <c r="G116" s="152" t="s">
        <v>108</v>
      </c>
      <c r="H116" s="164">
        <f t="shared" si="46"/>
        <v>21972004.3697824</v>
      </c>
      <c r="I116" s="187">
        <f>K116/J116*100</f>
        <v>49.13375837939721</v>
      </c>
      <c r="J116" s="183">
        <f aca="true" t="shared" si="50" ref="J116:W116">J120+J123+J129+J132+J138+J126+J135</f>
        <v>1387928</v>
      </c>
      <c r="K116" s="183">
        <f t="shared" si="50"/>
        <v>681941.1900000001</v>
      </c>
      <c r="L116" s="183">
        <f t="shared" si="50"/>
        <v>1500941</v>
      </c>
      <c r="M116" s="183">
        <f t="shared" si="50"/>
        <v>1538188.5</v>
      </c>
      <c r="N116" s="183">
        <f t="shared" si="50"/>
        <v>1567326.1875</v>
      </c>
      <c r="O116" s="183">
        <f t="shared" si="50"/>
        <v>1606459.3421875</v>
      </c>
      <c r="P116" s="183">
        <f t="shared" si="50"/>
        <v>1646570.8257421877</v>
      </c>
      <c r="Q116" s="183">
        <f t="shared" si="50"/>
        <v>1687685.0963857423</v>
      </c>
      <c r="R116" s="183">
        <f t="shared" si="50"/>
        <v>1727827.2237953856</v>
      </c>
      <c r="S116" s="183">
        <f t="shared" si="50"/>
        <v>1771022.9043902704</v>
      </c>
      <c r="T116" s="183">
        <f t="shared" si="50"/>
        <v>1815298.477000027</v>
      </c>
      <c r="U116" s="183">
        <f t="shared" si="50"/>
        <v>1860680.9389250278</v>
      </c>
      <c r="V116" s="183">
        <f t="shared" si="50"/>
        <v>1907197.9623981533</v>
      </c>
      <c r="W116" s="183">
        <f t="shared" si="50"/>
        <v>1954877.9114581072</v>
      </c>
      <c r="X116" s="164">
        <f aca="true" t="shared" si="51" ref="X116:X142">SUM(L116:W116)</f>
        <v>20584076.369782403</v>
      </c>
      <c r="Y116" s="185"/>
    </row>
    <row r="117" spans="1:25" s="212" customFormat="1" ht="30.75" customHeight="1">
      <c r="A117" s="179"/>
      <c r="B117" s="209"/>
      <c r="C117" s="264" t="s">
        <v>151</v>
      </c>
      <c r="D117" s="264"/>
      <c r="E117" s="152" t="s">
        <v>108</v>
      </c>
      <c r="F117" s="152" t="s">
        <v>108</v>
      </c>
      <c r="G117" s="152" t="s">
        <v>108</v>
      </c>
      <c r="H117" s="173">
        <f t="shared" si="46"/>
        <v>0</v>
      </c>
      <c r="I117" s="187"/>
      <c r="J117" s="183">
        <f aca="true" t="shared" si="52" ref="J117:W117">J121+J124+J130+J133+J139+J127+J136</f>
        <v>0</v>
      </c>
      <c r="K117" s="183">
        <f t="shared" si="52"/>
        <v>0</v>
      </c>
      <c r="L117" s="183">
        <f t="shared" si="52"/>
        <v>0</v>
      </c>
      <c r="M117" s="183">
        <f t="shared" si="52"/>
        <v>0</v>
      </c>
      <c r="N117" s="183">
        <f t="shared" si="52"/>
        <v>0</v>
      </c>
      <c r="O117" s="183">
        <f t="shared" si="52"/>
        <v>0</v>
      </c>
      <c r="P117" s="183">
        <f t="shared" si="52"/>
        <v>0</v>
      </c>
      <c r="Q117" s="183">
        <f t="shared" si="52"/>
        <v>0</v>
      </c>
      <c r="R117" s="183">
        <f t="shared" si="52"/>
        <v>0</v>
      </c>
      <c r="S117" s="183">
        <f t="shared" si="52"/>
        <v>0</v>
      </c>
      <c r="T117" s="183">
        <f t="shared" si="52"/>
        <v>0</v>
      </c>
      <c r="U117" s="183">
        <f t="shared" si="52"/>
        <v>0</v>
      </c>
      <c r="V117" s="183">
        <f t="shared" si="52"/>
        <v>0</v>
      </c>
      <c r="W117" s="183">
        <f t="shared" si="52"/>
        <v>0</v>
      </c>
      <c r="X117" s="173">
        <f t="shared" si="51"/>
        <v>0</v>
      </c>
      <c r="Y117" s="185"/>
    </row>
    <row r="118" spans="1:25" s="210" customFormat="1" ht="28.5" customHeight="1">
      <c r="A118" s="179"/>
      <c r="B118" s="209"/>
      <c r="C118" s="265" t="s">
        <v>155</v>
      </c>
      <c r="D118" s="265"/>
      <c r="E118" s="171"/>
      <c r="F118" s="171"/>
      <c r="G118" s="171"/>
      <c r="H118" s="173"/>
      <c r="I118" s="187"/>
      <c r="J118" s="171"/>
      <c r="K118" s="172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3">
        <f t="shared" si="51"/>
        <v>0</v>
      </c>
      <c r="Y118" s="174"/>
    </row>
    <row r="119" spans="1:25" s="213" customFormat="1" ht="30.75" customHeight="1">
      <c r="A119" s="179"/>
      <c r="B119" s="209"/>
      <c r="C119" s="181" t="s">
        <v>156</v>
      </c>
      <c r="D119" s="182" t="s">
        <v>225</v>
      </c>
      <c r="E119" s="151" t="s">
        <v>108</v>
      </c>
      <c r="F119" s="151">
        <v>2009</v>
      </c>
      <c r="G119" s="151">
        <v>2023</v>
      </c>
      <c r="H119" s="164">
        <f>SUM(J119:W119)-K119</f>
        <v>5532653.241464839</v>
      </c>
      <c r="I119" s="165">
        <f>K119/J119*100</f>
        <v>49.777123333333336</v>
      </c>
      <c r="J119" s="183">
        <f aca="true" t="shared" si="53" ref="J119:W119">J120+J121</f>
        <v>300000</v>
      </c>
      <c r="K119" s="184">
        <f t="shared" si="53"/>
        <v>149331.37</v>
      </c>
      <c r="L119" s="183">
        <f t="shared" si="53"/>
        <v>379300</v>
      </c>
      <c r="M119" s="183">
        <f t="shared" si="53"/>
        <v>388782.5</v>
      </c>
      <c r="N119" s="183">
        <f t="shared" si="53"/>
        <v>398502.0625</v>
      </c>
      <c r="O119" s="183">
        <f t="shared" si="53"/>
        <v>408464.6140625</v>
      </c>
      <c r="P119" s="183">
        <f t="shared" si="53"/>
        <v>418676.2294140625</v>
      </c>
      <c r="Q119" s="183">
        <f t="shared" si="53"/>
        <v>429143.13514941407</v>
      </c>
      <c r="R119" s="183">
        <f t="shared" si="53"/>
        <v>439871.7135281494</v>
      </c>
      <c r="S119" s="183">
        <f t="shared" si="53"/>
        <v>450868.50636635313</v>
      </c>
      <c r="T119" s="183">
        <f t="shared" si="53"/>
        <v>462140.21902551193</v>
      </c>
      <c r="U119" s="183">
        <f t="shared" si="53"/>
        <v>473693.7245011497</v>
      </c>
      <c r="V119" s="183">
        <f t="shared" si="53"/>
        <v>485536.06761367846</v>
      </c>
      <c r="W119" s="183">
        <f t="shared" si="53"/>
        <v>497674.4693040204</v>
      </c>
      <c r="X119" s="164">
        <f t="shared" si="51"/>
        <v>5232653.241464839</v>
      </c>
      <c r="Y119" s="185"/>
    </row>
    <row r="120" spans="1:25" s="210" customFormat="1" ht="30.75" customHeight="1">
      <c r="A120" s="179"/>
      <c r="B120" s="209"/>
      <c r="C120" s="170"/>
      <c r="D120" s="170" t="s">
        <v>150</v>
      </c>
      <c r="E120" s="186" t="s">
        <v>108</v>
      </c>
      <c r="F120" s="186" t="s">
        <v>108</v>
      </c>
      <c r="G120" s="186" t="s">
        <v>108</v>
      </c>
      <c r="H120" s="173">
        <f>SUM(J120:W120)-K120</f>
        <v>5532653.241464839</v>
      </c>
      <c r="I120" s="187">
        <f>K120/J120*100</f>
        <v>49.777123333333336</v>
      </c>
      <c r="J120" s="221">
        <v>300000</v>
      </c>
      <c r="K120" s="222">
        <v>149331.37</v>
      </c>
      <c r="L120" s="202">
        <v>379300</v>
      </c>
      <c r="M120" s="202">
        <f aca="true" t="shared" si="54" ref="M120:W120">L120*0.025+L120</f>
        <v>388782.5</v>
      </c>
      <c r="N120" s="202">
        <f t="shared" si="54"/>
        <v>398502.0625</v>
      </c>
      <c r="O120" s="202">
        <f t="shared" si="54"/>
        <v>408464.6140625</v>
      </c>
      <c r="P120" s="202">
        <f t="shared" si="54"/>
        <v>418676.2294140625</v>
      </c>
      <c r="Q120" s="202">
        <f t="shared" si="54"/>
        <v>429143.13514941407</v>
      </c>
      <c r="R120" s="202">
        <f t="shared" si="54"/>
        <v>439871.7135281494</v>
      </c>
      <c r="S120" s="202">
        <f t="shared" si="54"/>
        <v>450868.50636635313</v>
      </c>
      <c r="T120" s="202">
        <f t="shared" si="54"/>
        <v>462140.21902551193</v>
      </c>
      <c r="U120" s="202">
        <f t="shared" si="54"/>
        <v>473693.7245011497</v>
      </c>
      <c r="V120" s="202">
        <f t="shared" si="54"/>
        <v>485536.06761367846</v>
      </c>
      <c r="W120" s="202">
        <f t="shared" si="54"/>
        <v>497674.4693040204</v>
      </c>
      <c r="X120" s="173">
        <f t="shared" si="51"/>
        <v>5232653.241464839</v>
      </c>
      <c r="Y120" s="189"/>
    </row>
    <row r="121" spans="1:25" s="210" customFormat="1" ht="30.75" customHeight="1">
      <c r="A121" s="179"/>
      <c r="B121" s="209"/>
      <c r="C121" s="170"/>
      <c r="D121" s="170" t="s">
        <v>159</v>
      </c>
      <c r="E121" s="186" t="s">
        <v>108</v>
      </c>
      <c r="F121" s="186" t="s">
        <v>108</v>
      </c>
      <c r="G121" s="186" t="s">
        <v>108</v>
      </c>
      <c r="H121" s="164"/>
      <c r="I121" s="187"/>
      <c r="J121" s="221"/>
      <c r="K121" s="222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173">
        <f t="shared" si="51"/>
        <v>0</v>
      </c>
      <c r="Y121" s="189"/>
    </row>
    <row r="122" spans="1:25" s="213" customFormat="1" ht="30.75" customHeight="1">
      <c r="A122" s="179"/>
      <c r="B122" s="209"/>
      <c r="C122" s="181" t="s">
        <v>160</v>
      </c>
      <c r="D122" s="182" t="s">
        <v>226</v>
      </c>
      <c r="E122" s="151" t="s">
        <v>108</v>
      </c>
      <c r="F122" s="151">
        <v>2009</v>
      </c>
      <c r="G122" s="151">
        <v>2023</v>
      </c>
      <c r="H122" s="164">
        <f>SUM(J122:W122)-K122</f>
        <v>5987198.952790035</v>
      </c>
      <c r="I122" s="165">
        <f>K122/J122*100</f>
        <v>50.68566</v>
      </c>
      <c r="J122" s="183">
        <f aca="true" t="shared" si="55" ref="J122:W122">J123+J124</f>
        <v>400000</v>
      </c>
      <c r="K122" s="184">
        <f t="shared" si="55"/>
        <v>202742.64</v>
      </c>
      <c r="L122" s="183">
        <f t="shared" si="55"/>
        <v>405000</v>
      </c>
      <c r="M122" s="183">
        <f t="shared" si="55"/>
        <v>415125</v>
      </c>
      <c r="N122" s="183">
        <f t="shared" si="55"/>
        <v>425503.125</v>
      </c>
      <c r="O122" s="183">
        <f t="shared" si="55"/>
        <v>436140.703125</v>
      </c>
      <c r="P122" s="183">
        <f t="shared" si="55"/>
        <v>447044.220703125</v>
      </c>
      <c r="Q122" s="183">
        <f t="shared" si="55"/>
        <v>458220.32622070314</v>
      </c>
      <c r="R122" s="183">
        <f t="shared" si="55"/>
        <v>469675.8343762207</v>
      </c>
      <c r="S122" s="183">
        <f t="shared" si="55"/>
        <v>481417.7302356262</v>
      </c>
      <c r="T122" s="183">
        <f t="shared" si="55"/>
        <v>493453.17349151685</v>
      </c>
      <c r="U122" s="183">
        <f t="shared" si="55"/>
        <v>505789.5028288048</v>
      </c>
      <c r="V122" s="183">
        <f t="shared" si="55"/>
        <v>518434.2403995249</v>
      </c>
      <c r="W122" s="183">
        <f t="shared" si="55"/>
        <v>531395.096409513</v>
      </c>
      <c r="X122" s="164">
        <f t="shared" si="51"/>
        <v>5587198.952790034</v>
      </c>
      <c r="Y122" s="185"/>
    </row>
    <row r="123" spans="1:25" s="210" customFormat="1" ht="30.75" customHeight="1">
      <c r="A123" s="179"/>
      <c r="B123" s="209"/>
      <c r="C123" s="170"/>
      <c r="D123" s="170" t="s">
        <v>150</v>
      </c>
      <c r="E123" s="186" t="s">
        <v>108</v>
      </c>
      <c r="F123" s="186" t="s">
        <v>108</v>
      </c>
      <c r="G123" s="186" t="s">
        <v>108</v>
      </c>
      <c r="H123" s="173">
        <f>SUM(J123:W123)-K123</f>
        <v>5987198.952790035</v>
      </c>
      <c r="I123" s="187">
        <f>K123/J123*100</f>
        <v>50.68566</v>
      </c>
      <c r="J123" s="221">
        <v>400000</v>
      </c>
      <c r="K123" s="222">
        <v>202742.64</v>
      </c>
      <c r="L123" s="202">
        <v>405000</v>
      </c>
      <c r="M123" s="202">
        <f aca="true" t="shared" si="56" ref="M123:W123">L123*0.025+L123</f>
        <v>415125</v>
      </c>
      <c r="N123" s="202">
        <f t="shared" si="56"/>
        <v>425503.125</v>
      </c>
      <c r="O123" s="202">
        <f t="shared" si="56"/>
        <v>436140.703125</v>
      </c>
      <c r="P123" s="202">
        <f t="shared" si="56"/>
        <v>447044.220703125</v>
      </c>
      <c r="Q123" s="202">
        <f t="shared" si="56"/>
        <v>458220.32622070314</v>
      </c>
      <c r="R123" s="202">
        <f t="shared" si="56"/>
        <v>469675.8343762207</v>
      </c>
      <c r="S123" s="202">
        <f t="shared" si="56"/>
        <v>481417.7302356262</v>
      </c>
      <c r="T123" s="202">
        <f t="shared" si="56"/>
        <v>493453.17349151685</v>
      </c>
      <c r="U123" s="202">
        <f t="shared" si="56"/>
        <v>505789.5028288048</v>
      </c>
      <c r="V123" s="202">
        <f t="shared" si="56"/>
        <v>518434.2403995249</v>
      </c>
      <c r="W123" s="202">
        <f t="shared" si="56"/>
        <v>531395.096409513</v>
      </c>
      <c r="X123" s="173">
        <f t="shared" si="51"/>
        <v>5587198.952790034</v>
      </c>
      <c r="Y123" s="189"/>
    </row>
    <row r="124" spans="1:25" s="210" customFormat="1" ht="30.75" customHeight="1">
      <c r="A124" s="179"/>
      <c r="B124" s="209"/>
      <c r="C124" s="170"/>
      <c r="D124" s="170" t="s">
        <v>159</v>
      </c>
      <c r="E124" s="186" t="s">
        <v>108</v>
      </c>
      <c r="F124" s="186" t="s">
        <v>108</v>
      </c>
      <c r="G124" s="186" t="s">
        <v>108</v>
      </c>
      <c r="H124" s="164"/>
      <c r="I124" s="187"/>
      <c r="J124" s="221"/>
      <c r="K124" s="222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173">
        <f t="shared" si="51"/>
        <v>0</v>
      </c>
      <c r="Y124" s="189"/>
    </row>
    <row r="125" spans="1:25" s="210" customFormat="1" ht="54">
      <c r="A125" s="179"/>
      <c r="B125" s="209"/>
      <c r="C125" s="181" t="s">
        <v>163</v>
      </c>
      <c r="D125" s="182" t="s">
        <v>227</v>
      </c>
      <c r="E125" s="186" t="s">
        <v>108</v>
      </c>
      <c r="F125" s="186" t="s">
        <v>108</v>
      </c>
      <c r="G125" s="186" t="s">
        <v>108</v>
      </c>
      <c r="H125" s="164">
        <f>SUM(J125:W125)-K125</f>
        <v>5551609.695476388</v>
      </c>
      <c r="I125" s="165">
        <f>K125/J125*100</f>
        <v>48.60877297297297</v>
      </c>
      <c r="J125" s="183">
        <f aca="true" t="shared" si="57" ref="J125:W125">J126+J127</f>
        <v>370000</v>
      </c>
      <c r="K125" s="184">
        <f t="shared" si="57"/>
        <v>179852.46</v>
      </c>
      <c r="L125" s="183">
        <f t="shared" si="57"/>
        <v>375600</v>
      </c>
      <c r="M125" s="183">
        <f t="shared" si="57"/>
        <v>384990</v>
      </c>
      <c r="N125" s="183">
        <f t="shared" si="57"/>
        <v>394614.75</v>
      </c>
      <c r="O125" s="183">
        <f t="shared" si="57"/>
        <v>404480.11875</v>
      </c>
      <c r="P125" s="183">
        <f t="shared" si="57"/>
        <v>414592.12171875004</v>
      </c>
      <c r="Q125" s="183">
        <f t="shared" si="57"/>
        <v>424956.9247617188</v>
      </c>
      <c r="R125" s="183">
        <f t="shared" si="57"/>
        <v>435580.8478807617</v>
      </c>
      <c r="S125" s="183">
        <f t="shared" si="57"/>
        <v>446470.36907778075</v>
      </c>
      <c r="T125" s="183">
        <f t="shared" si="57"/>
        <v>457632.1283047253</v>
      </c>
      <c r="U125" s="183">
        <f t="shared" si="57"/>
        <v>469072.9315123434</v>
      </c>
      <c r="V125" s="183">
        <f t="shared" si="57"/>
        <v>480799.754800152</v>
      </c>
      <c r="W125" s="183">
        <f t="shared" si="57"/>
        <v>492819.74867015576</v>
      </c>
      <c r="X125" s="164">
        <f t="shared" si="51"/>
        <v>5181609.695476389</v>
      </c>
      <c r="Y125" s="185"/>
    </row>
    <row r="126" spans="1:25" s="210" customFormat="1" ht="30.75" customHeight="1">
      <c r="A126" s="179"/>
      <c r="B126" s="209"/>
      <c r="C126" s="170"/>
      <c r="D126" s="170" t="s">
        <v>150</v>
      </c>
      <c r="E126" s="186" t="s">
        <v>108</v>
      </c>
      <c r="F126" s="186">
        <v>2009</v>
      </c>
      <c r="G126" s="186">
        <v>2023</v>
      </c>
      <c r="H126" s="173">
        <f>SUM(J126:W126)-K126</f>
        <v>5551609.695476388</v>
      </c>
      <c r="I126" s="187">
        <f>K126/J126*100</f>
        <v>48.60877297297297</v>
      </c>
      <c r="J126" s="221">
        <v>370000</v>
      </c>
      <c r="K126" s="222">
        <v>179852.46</v>
      </c>
      <c r="L126" s="202">
        <v>375600</v>
      </c>
      <c r="M126" s="202">
        <f aca="true" t="shared" si="58" ref="M126:W126">L126*0.025+L126</f>
        <v>384990</v>
      </c>
      <c r="N126" s="202">
        <f t="shared" si="58"/>
        <v>394614.75</v>
      </c>
      <c r="O126" s="202">
        <f t="shared" si="58"/>
        <v>404480.11875</v>
      </c>
      <c r="P126" s="202">
        <f t="shared" si="58"/>
        <v>414592.12171875004</v>
      </c>
      <c r="Q126" s="202">
        <f t="shared" si="58"/>
        <v>424956.9247617188</v>
      </c>
      <c r="R126" s="202">
        <f t="shared" si="58"/>
        <v>435580.8478807617</v>
      </c>
      <c r="S126" s="202">
        <f t="shared" si="58"/>
        <v>446470.36907778075</v>
      </c>
      <c r="T126" s="202">
        <f t="shared" si="58"/>
        <v>457632.1283047253</v>
      </c>
      <c r="U126" s="202">
        <f t="shared" si="58"/>
        <v>469072.9315123434</v>
      </c>
      <c r="V126" s="202">
        <f t="shared" si="58"/>
        <v>480799.754800152</v>
      </c>
      <c r="W126" s="202">
        <f t="shared" si="58"/>
        <v>492819.74867015576</v>
      </c>
      <c r="X126" s="173">
        <f t="shared" si="51"/>
        <v>5181609.695476389</v>
      </c>
      <c r="Y126" s="189"/>
    </row>
    <row r="127" spans="1:25" s="210" customFormat="1" ht="30.75" customHeight="1">
      <c r="A127" s="179"/>
      <c r="B127" s="209"/>
      <c r="C127" s="170"/>
      <c r="D127" s="170" t="s">
        <v>159</v>
      </c>
      <c r="E127" s="186" t="s">
        <v>108</v>
      </c>
      <c r="F127" s="186" t="s">
        <v>108</v>
      </c>
      <c r="G127" s="186" t="s">
        <v>108</v>
      </c>
      <c r="H127" s="164"/>
      <c r="I127" s="187"/>
      <c r="J127" s="221"/>
      <c r="K127" s="222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173">
        <f t="shared" si="51"/>
        <v>0</v>
      </c>
      <c r="Y127" s="189"/>
    </row>
    <row r="128" spans="1:25" s="211" customFormat="1" ht="30.75" customHeight="1">
      <c r="A128" s="179"/>
      <c r="B128" s="209"/>
      <c r="C128" s="181" t="s">
        <v>165</v>
      </c>
      <c r="D128" s="182" t="s">
        <v>228</v>
      </c>
      <c r="E128" s="186" t="s">
        <v>108</v>
      </c>
      <c r="F128" s="186" t="s">
        <v>108</v>
      </c>
      <c r="G128" s="186" t="s">
        <v>108</v>
      </c>
      <c r="H128" s="164">
        <f>SUM(J128:W128)-K128</f>
        <v>3671888.2424629848</v>
      </c>
      <c r="I128" s="165">
        <f>K128/J128*100</f>
        <v>50.83624215246637</v>
      </c>
      <c r="J128" s="183">
        <f aca="true" t="shared" si="59" ref="J128:W128">J129+J130</f>
        <v>223000</v>
      </c>
      <c r="K128" s="184">
        <f t="shared" si="59"/>
        <v>113364.82</v>
      </c>
      <c r="L128" s="183">
        <f t="shared" si="59"/>
        <v>250000</v>
      </c>
      <c r="M128" s="183">
        <f t="shared" si="59"/>
        <v>256250</v>
      </c>
      <c r="N128" s="183">
        <f t="shared" si="59"/>
        <v>262656.25</v>
      </c>
      <c r="O128" s="183">
        <f t="shared" si="59"/>
        <v>269222.65625</v>
      </c>
      <c r="P128" s="183">
        <f t="shared" si="59"/>
        <v>275953.22265625</v>
      </c>
      <c r="Q128" s="183">
        <f t="shared" si="59"/>
        <v>282852.05322265625</v>
      </c>
      <c r="R128" s="183">
        <f t="shared" si="59"/>
        <v>289923.35455322266</v>
      </c>
      <c r="S128" s="183">
        <f t="shared" si="59"/>
        <v>297171.4384170532</v>
      </c>
      <c r="T128" s="183">
        <f t="shared" si="59"/>
        <v>304600.7243774795</v>
      </c>
      <c r="U128" s="183">
        <f t="shared" si="59"/>
        <v>312215.7424869165</v>
      </c>
      <c r="V128" s="183">
        <f t="shared" si="59"/>
        <v>320021.1360490894</v>
      </c>
      <c r="W128" s="183">
        <f t="shared" si="59"/>
        <v>328021.66445031663</v>
      </c>
      <c r="X128" s="164">
        <f t="shared" si="51"/>
        <v>3448888.2424629843</v>
      </c>
      <c r="Y128" s="185"/>
    </row>
    <row r="129" spans="1:25" s="211" customFormat="1" ht="30.75" customHeight="1">
      <c r="A129" s="179"/>
      <c r="B129" s="209"/>
      <c r="C129" s="170"/>
      <c r="D129" s="170" t="s">
        <v>150</v>
      </c>
      <c r="E129" s="186" t="s">
        <v>108</v>
      </c>
      <c r="F129" s="186">
        <v>2009</v>
      </c>
      <c r="G129" s="186">
        <v>2023</v>
      </c>
      <c r="H129" s="173">
        <f>SUM(J129:W129)-K129</f>
        <v>3671888.2424629848</v>
      </c>
      <c r="I129" s="187">
        <f>K129/J129*100</f>
        <v>50.83624215246637</v>
      </c>
      <c r="J129" s="191">
        <v>223000</v>
      </c>
      <c r="K129" s="192">
        <v>113364.82</v>
      </c>
      <c r="L129" s="202">
        <v>250000</v>
      </c>
      <c r="M129" s="202">
        <f aca="true" t="shared" si="60" ref="M129:W129">L129*0.025+L129</f>
        <v>256250</v>
      </c>
      <c r="N129" s="202">
        <f t="shared" si="60"/>
        <v>262656.25</v>
      </c>
      <c r="O129" s="202">
        <f t="shared" si="60"/>
        <v>269222.65625</v>
      </c>
      <c r="P129" s="202">
        <f t="shared" si="60"/>
        <v>275953.22265625</v>
      </c>
      <c r="Q129" s="202">
        <f t="shared" si="60"/>
        <v>282852.05322265625</v>
      </c>
      <c r="R129" s="202">
        <f t="shared" si="60"/>
        <v>289923.35455322266</v>
      </c>
      <c r="S129" s="202">
        <f t="shared" si="60"/>
        <v>297171.4384170532</v>
      </c>
      <c r="T129" s="202">
        <f t="shared" si="60"/>
        <v>304600.7243774795</v>
      </c>
      <c r="U129" s="202">
        <f t="shared" si="60"/>
        <v>312215.7424869165</v>
      </c>
      <c r="V129" s="202">
        <f t="shared" si="60"/>
        <v>320021.1360490894</v>
      </c>
      <c r="W129" s="202">
        <f t="shared" si="60"/>
        <v>328021.66445031663</v>
      </c>
      <c r="X129" s="173">
        <f t="shared" si="51"/>
        <v>3448888.2424629843</v>
      </c>
      <c r="Y129" s="189"/>
    </row>
    <row r="130" spans="1:25" s="211" customFormat="1" ht="30.75" customHeight="1">
      <c r="A130" s="179"/>
      <c r="B130" s="209"/>
      <c r="C130" s="170"/>
      <c r="D130" s="170" t="s">
        <v>159</v>
      </c>
      <c r="E130" s="186" t="s">
        <v>108</v>
      </c>
      <c r="F130" s="186" t="s">
        <v>108</v>
      </c>
      <c r="G130" s="186" t="s">
        <v>108</v>
      </c>
      <c r="H130" s="164"/>
      <c r="I130" s="187"/>
      <c r="J130" s="191"/>
      <c r="K130" s="192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73">
        <f t="shared" si="51"/>
        <v>0</v>
      </c>
      <c r="Y130" s="189"/>
    </row>
    <row r="131" spans="1:25" s="211" customFormat="1" ht="54">
      <c r="A131" s="179"/>
      <c r="B131" s="209"/>
      <c r="C131" s="181" t="s">
        <v>211</v>
      </c>
      <c r="D131" s="182" t="s">
        <v>229</v>
      </c>
      <c r="E131" s="186" t="s">
        <v>108</v>
      </c>
      <c r="F131" s="186" t="s">
        <v>108</v>
      </c>
      <c r="G131" s="186" t="s">
        <v>108</v>
      </c>
      <c r="H131" s="164">
        <f>SUM(J131:W131)-K131</f>
        <v>1183644.237588155</v>
      </c>
      <c r="I131" s="165">
        <f>K132/J131*100</f>
        <v>23.209875000000004</v>
      </c>
      <c r="J131" s="183">
        <f aca="true" t="shared" si="61" ref="J131:W131">J132+J133</f>
        <v>80000</v>
      </c>
      <c r="K131" s="184">
        <f t="shared" si="61"/>
        <v>18567.9</v>
      </c>
      <c r="L131" s="183">
        <f t="shared" si="61"/>
        <v>80000</v>
      </c>
      <c r="M131" s="183">
        <f t="shared" si="61"/>
        <v>82000</v>
      </c>
      <c r="N131" s="183">
        <f t="shared" si="61"/>
        <v>84050</v>
      </c>
      <c r="O131" s="183">
        <f t="shared" si="61"/>
        <v>86151.25</v>
      </c>
      <c r="P131" s="183">
        <f t="shared" si="61"/>
        <v>88305.03125</v>
      </c>
      <c r="Q131" s="183">
        <f t="shared" si="61"/>
        <v>90512.65703125</v>
      </c>
      <c r="R131" s="183">
        <f t="shared" si="61"/>
        <v>92775.47345703124</v>
      </c>
      <c r="S131" s="183">
        <f t="shared" si="61"/>
        <v>95094.86029345702</v>
      </c>
      <c r="T131" s="183">
        <f t="shared" si="61"/>
        <v>97472.23180079345</v>
      </c>
      <c r="U131" s="183">
        <f t="shared" si="61"/>
        <v>99909.0375958133</v>
      </c>
      <c r="V131" s="183">
        <f t="shared" si="61"/>
        <v>102406.76353570863</v>
      </c>
      <c r="W131" s="183">
        <f t="shared" si="61"/>
        <v>104966.93262410135</v>
      </c>
      <c r="X131" s="164">
        <f t="shared" si="51"/>
        <v>1103644.237588155</v>
      </c>
      <c r="Y131" s="185"/>
    </row>
    <row r="132" spans="1:25" s="211" customFormat="1" ht="30.75" customHeight="1">
      <c r="A132" s="179"/>
      <c r="B132" s="209"/>
      <c r="C132" s="170"/>
      <c r="D132" s="170" t="s">
        <v>150</v>
      </c>
      <c r="E132" s="186" t="s">
        <v>108</v>
      </c>
      <c r="F132" s="186">
        <v>2009</v>
      </c>
      <c r="G132" s="186">
        <v>2023</v>
      </c>
      <c r="H132" s="173">
        <f>SUM(J132:W132)-K132</f>
        <v>1183644.237588155</v>
      </c>
      <c r="I132" s="187">
        <f>K132/J132*100</f>
        <v>23.209875000000004</v>
      </c>
      <c r="J132" s="191">
        <v>80000</v>
      </c>
      <c r="K132" s="203">
        <v>18567.9</v>
      </c>
      <c r="L132" s="202">
        <v>80000</v>
      </c>
      <c r="M132" s="202">
        <f aca="true" t="shared" si="62" ref="M132:W132">L132*0.025+L132</f>
        <v>82000</v>
      </c>
      <c r="N132" s="202">
        <f t="shared" si="62"/>
        <v>84050</v>
      </c>
      <c r="O132" s="202">
        <f t="shared" si="62"/>
        <v>86151.25</v>
      </c>
      <c r="P132" s="202">
        <f t="shared" si="62"/>
        <v>88305.03125</v>
      </c>
      <c r="Q132" s="202">
        <f t="shared" si="62"/>
        <v>90512.65703125</v>
      </c>
      <c r="R132" s="202">
        <f t="shared" si="62"/>
        <v>92775.47345703124</v>
      </c>
      <c r="S132" s="202">
        <f t="shared" si="62"/>
        <v>95094.86029345702</v>
      </c>
      <c r="T132" s="202">
        <f t="shared" si="62"/>
        <v>97472.23180079345</v>
      </c>
      <c r="U132" s="202">
        <f t="shared" si="62"/>
        <v>99909.0375958133</v>
      </c>
      <c r="V132" s="202">
        <f t="shared" si="62"/>
        <v>102406.76353570863</v>
      </c>
      <c r="W132" s="202">
        <f t="shared" si="62"/>
        <v>104966.93262410135</v>
      </c>
      <c r="X132" s="173">
        <f t="shared" si="51"/>
        <v>1103644.237588155</v>
      </c>
      <c r="Y132" s="189"/>
    </row>
    <row r="133" spans="1:25" s="211" customFormat="1" ht="27.75">
      <c r="A133" s="179"/>
      <c r="B133" s="209"/>
      <c r="C133" s="170"/>
      <c r="D133" s="170" t="s">
        <v>159</v>
      </c>
      <c r="E133" s="186" t="s">
        <v>108</v>
      </c>
      <c r="F133" s="186" t="s">
        <v>108</v>
      </c>
      <c r="G133" s="186" t="s">
        <v>108</v>
      </c>
      <c r="H133" s="173"/>
      <c r="I133" s="187"/>
      <c r="J133" s="191"/>
      <c r="K133" s="192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73">
        <f t="shared" si="51"/>
        <v>0</v>
      </c>
      <c r="Y133" s="189"/>
    </row>
    <row r="134" spans="1:25" s="211" customFormat="1" ht="54">
      <c r="A134" s="179"/>
      <c r="B134" s="209"/>
      <c r="C134" s="181" t="s">
        <v>213</v>
      </c>
      <c r="D134" s="182" t="s">
        <v>230</v>
      </c>
      <c r="E134" s="151" t="s">
        <v>108</v>
      </c>
      <c r="F134" s="151" t="s">
        <v>108</v>
      </c>
      <c r="G134" s="151" t="s">
        <v>108</v>
      </c>
      <c r="H134" s="164">
        <f>SUM(J134:W134)-K134</f>
        <v>27123</v>
      </c>
      <c r="I134" s="165">
        <f>K134/J134*100</f>
        <v>100</v>
      </c>
      <c r="J134" s="183">
        <f aca="true" t="shared" si="63" ref="J134:W134">J135+J136</f>
        <v>9041</v>
      </c>
      <c r="K134" s="184">
        <f t="shared" si="63"/>
        <v>9041</v>
      </c>
      <c r="L134" s="183">
        <f t="shared" si="63"/>
        <v>9041</v>
      </c>
      <c r="M134" s="183">
        <f t="shared" si="63"/>
        <v>9041</v>
      </c>
      <c r="N134" s="183">
        <f t="shared" si="63"/>
        <v>0</v>
      </c>
      <c r="O134" s="183">
        <f t="shared" si="63"/>
        <v>0</v>
      </c>
      <c r="P134" s="183">
        <f t="shared" si="63"/>
        <v>0</v>
      </c>
      <c r="Q134" s="183">
        <f t="shared" si="63"/>
        <v>0</v>
      </c>
      <c r="R134" s="183">
        <f t="shared" si="63"/>
        <v>0</v>
      </c>
      <c r="S134" s="183">
        <f t="shared" si="63"/>
        <v>0</v>
      </c>
      <c r="T134" s="183">
        <f t="shared" si="63"/>
        <v>0</v>
      </c>
      <c r="U134" s="183">
        <f t="shared" si="63"/>
        <v>0</v>
      </c>
      <c r="V134" s="183">
        <f t="shared" si="63"/>
        <v>0</v>
      </c>
      <c r="W134" s="183">
        <f t="shared" si="63"/>
        <v>0</v>
      </c>
      <c r="X134" s="164">
        <f t="shared" si="51"/>
        <v>18082</v>
      </c>
      <c r="Y134" s="189"/>
    </row>
    <row r="135" spans="1:25" s="211" customFormat="1" ht="27.75">
      <c r="A135" s="179"/>
      <c r="B135" s="209"/>
      <c r="C135" s="170"/>
      <c r="D135" s="170" t="s">
        <v>150</v>
      </c>
      <c r="E135" s="186" t="s">
        <v>108</v>
      </c>
      <c r="F135" s="186">
        <v>2011</v>
      </c>
      <c r="G135" s="186">
        <v>2013</v>
      </c>
      <c r="H135" s="173">
        <f>SUM(J135:W135)-K135</f>
        <v>27123</v>
      </c>
      <c r="I135" s="187">
        <f>K135/J135*100</f>
        <v>100</v>
      </c>
      <c r="J135" s="191">
        <v>9041</v>
      </c>
      <c r="K135" s="192">
        <v>9041</v>
      </c>
      <c r="L135" s="191">
        <v>9041</v>
      </c>
      <c r="M135" s="191">
        <v>9041</v>
      </c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173">
        <f t="shared" si="51"/>
        <v>18082</v>
      </c>
      <c r="Y135" s="189"/>
    </row>
    <row r="136" spans="1:25" s="211" customFormat="1" ht="27.75">
      <c r="A136" s="179"/>
      <c r="B136" s="209"/>
      <c r="C136" s="170"/>
      <c r="D136" s="170" t="s">
        <v>159</v>
      </c>
      <c r="E136" s="186" t="s">
        <v>108</v>
      </c>
      <c r="F136" s="186" t="s">
        <v>108</v>
      </c>
      <c r="G136" s="186" t="s">
        <v>108</v>
      </c>
      <c r="H136" s="164"/>
      <c r="I136" s="187"/>
      <c r="J136" s="191"/>
      <c r="K136" s="192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73">
        <f t="shared" si="51"/>
        <v>0</v>
      </c>
      <c r="Y136" s="189"/>
    </row>
    <row r="137" spans="1:25" s="212" customFormat="1" ht="54">
      <c r="A137" s="207"/>
      <c r="B137" s="209"/>
      <c r="C137" s="181" t="s">
        <v>215</v>
      </c>
      <c r="D137" s="182" t="s">
        <v>231</v>
      </c>
      <c r="E137" s="151" t="s">
        <v>108</v>
      </c>
      <c r="F137" s="151" t="s">
        <v>108</v>
      </c>
      <c r="G137" s="151" t="s">
        <v>108</v>
      </c>
      <c r="H137" s="164">
        <f>SUM(J137:W137)-K137</f>
        <v>17887</v>
      </c>
      <c r="I137" s="219">
        <f>K137/J137*100</f>
        <v>153.5756752165789</v>
      </c>
      <c r="J137" s="183">
        <f aca="true" t="shared" si="64" ref="J137:W137">J138+J139</f>
        <v>5887</v>
      </c>
      <c r="K137" s="220">
        <f t="shared" si="64"/>
        <v>9041</v>
      </c>
      <c r="L137" s="183">
        <f t="shared" si="64"/>
        <v>2000</v>
      </c>
      <c r="M137" s="183">
        <f t="shared" si="64"/>
        <v>2000</v>
      </c>
      <c r="N137" s="183">
        <f t="shared" si="64"/>
        <v>2000</v>
      </c>
      <c r="O137" s="183">
        <f t="shared" si="64"/>
        <v>2000</v>
      </c>
      <c r="P137" s="183">
        <f t="shared" si="64"/>
        <v>2000</v>
      </c>
      <c r="Q137" s="183">
        <f t="shared" si="64"/>
        <v>2000</v>
      </c>
      <c r="R137" s="183">
        <f t="shared" si="64"/>
        <v>0</v>
      </c>
      <c r="S137" s="183">
        <f t="shared" si="64"/>
        <v>0</v>
      </c>
      <c r="T137" s="183">
        <f t="shared" si="64"/>
        <v>0</v>
      </c>
      <c r="U137" s="183">
        <f t="shared" si="64"/>
        <v>0</v>
      </c>
      <c r="V137" s="183">
        <f t="shared" si="64"/>
        <v>0</v>
      </c>
      <c r="W137" s="183">
        <f t="shared" si="64"/>
        <v>0</v>
      </c>
      <c r="X137" s="164">
        <f t="shared" si="51"/>
        <v>12000</v>
      </c>
      <c r="Y137" s="196"/>
    </row>
    <row r="138" spans="1:25" s="211" customFormat="1" ht="27.75">
      <c r="A138" s="179"/>
      <c r="B138" s="214"/>
      <c r="C138" s="170"/>
      <c r="D138" s="170" t="s">
        <v>150</v>
      </c>
      <c r="E138" s="186" t="s">
        <v>108</v>
      </c>
      <c r="F138" s="186">
        <v>2011</v>
      </c>
      <c r="G138" s="186">
        <v>2017</v>
      </c>
      <c r="H138" s="173">
        <f>SUM(J138:W138)-K138</f>
        <v>17887</v>
      </c>
      <c r="I138" s="215">
        <f>K138/J138*100</f>
        <v>153.5756752165789</v>
      </c>
      <c r="J138" s="191">
        <v>5887</v>
      </c>
      <c r="K138" s="223">
        <v>9041</v>
      </c>
      <c r="L138" s="191">
        <v>2000</v>
      </c>
      <c r="M138" s="191">
        <v>2000</v>
      </c>
      <c r="N138" s="191">
        <v>2000</v>
      </c>
      <c r="O138" s="191">
        <v>2000</v>
      </c>
      <c r="P138" s="191">
        <v>2000</v>
      </c>
      <c r="Q138" s="191">
        <v>2000</v>
      </c>
      <c r="R138" s="202"/>
      <c r="S138" s="202"/>
      <c r="T138" s="202"/>
      <c r="U138" s="202"/>
      <c r="V138" s="202"/>
      <c r="W138" s="202"/>
      <c r="X138" s="173">
        <f t="shared" si="51"/>
        <v>12000</v>
      </c>
      <c r="Y138" s="189"/>
    </row>
    <row r="139" spans="1:25" s="211" customFormat="1" ht="27.75">
      <c r="A139" s="179"/>
      <c r="B139" s="209"/>
      <c r="C139" s="170"/>
      <c r="D139" s="170" t="s">
        <v>159</v>
      </c>
      <c r="E139" s="186" t="s">
        <v>108</v>
      </c>
      <c r="F139" s="186" t="s">
        <v>108</v>
      </c>
      <c r="G139" s="186" t="s">
        <v>108</v>
      </c>
      <c r="H139" s="164"/>
      <c r="I139" s="215"/>
      <c r="J139" s="191"/>
      <c r="K139" s="223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73">
        <f t="shared" si="51"/>
        <v>0</v>
      </c>
      <c r="Y139" s="189"/>
    </row>
    <row r="140" spans="1:25" s="213" customFormat="1" ht="47.25" customHeight="1">
      <c r="A140" s="207"/>
      <c r="B140" s="181" t="s">
        <v>176</v>
      </c>
      <c r="C140" s="264" t="s">
        <v>177</v>
      </c>
      <c r="D140" s="264"/>
      <c r="E140" s="151" t="s">
        <v>162</v>
      </c>
      <c r="F140" s="224" t="s">
        <v>108</v>
      </c>
      <c r="G140" s="224" t="s">
        <v>108</v>
      </c>
      <c r="H140" s="164">
        <f>SUM(J140:W140)-K140</f>
        <v>4195264</v>
      </c>
      <c r="I140" s="165">
        <f>K140/J140*100</f>
        <v>0</v>
      </c>
      <c r="J140" s="183">
        <f>J141+J143</f>
        <v>23600</v>
      </c>
      <c r="K140" s="184">
        <f>K141+K143</f>
        <v>0</v>
      </c>
      <c r="L140" s="183">
        <f aca="true" t="shared" si="65" ref="L140:V140">SUM(L141:L142)</f>
        <v>313255</v>
      </c>
      <c r="M140" s="183">
        <f t="shared" si="65"/>
        <v>591678</v>
      </c>
      <c r="N140" s="183">
        <f t="shared" si="65"/>
        <v>573920</v>
      </c>
      <c r="O140" s="183">
        <f t="shared" si="65"/>
        <v>528234</v>
      </c>
      <c r="P140" s="183">
        <f t="shared" si="65"/>
        <v>338528</v>
      </c>
      <c r="Q140" s="183">
        <f t="shared" si="65"/>
        <v>328746</v>
      </c>
      <c r="R140" s="183">
        <f t="shared" si="65"/>
        <v>318985</v>
      </c>
      <c r="S140" s="183">
        <f t="shared" si="65"/>
        <v>309224</v>
      </c>
      <c r="T140" s="183">
        <f t="shared" si="65"/>
        <v>299461</v>
      </c>
      <c r="U140" s="183">
        <f t="shared" si="65"/>
        <v>289699</v>
      </c>
      <c r="V140" s="183">
        <f t="shared" si="65"/>
        <v>279934</v>
      </c>
      <c r="W140" s="183">
        <f>W141+W143</f>
        <v>0</v>
      </c>
      <c r="X140" s="164">
        <f t="shared" si="51"/>
        <v>4171664</v>
      </c>
      <c r="Y140" s="185"/>
    </row>
    <row r="141" spans="1:25" s="213" customFormat="1" ht="83.25">
      <c r="A141" s="207"/>
      <c r="B141" s="181"/>
      <c r="C141" s="201" t="s">
        <v>156</v>
      </c>
      <c r="D141" s="225" t="s">
        <v>232</v>
      </c>
      <c r="E141" s="186" t="s">
        <v>108</v>
      </c>
      <c r="F141" s="186">
        <v>2011</v>
      </c>
      <c r="G141" s="186">
        <v>2015</v>
      </c>
      <c r="H141" s="173">
        <f>SUM(J141:W141)-K141</f>
        <v>898220</v>
      </c>
      <c r="I141" s="187">
        <f>K141/J141*100</f>
        <v>0</v>
      </c>
      <c r="J141" s="191">
        <v>23600</v>
      </c>
      <c r="K141" s="192">
        <v>0</v>
      </c>
      <c r="L141" s="191">
        <f>200000+31885</f>
        <v>231885</v>
      </c>
      <c r="M141" s="191">
        <f>23885+200000</f>
        <v>223885</v>
      </c>
      <c r="N141" s="191">
        <f>15885+200000</f>
        <v>215885</v>
      </c>
      <c r="O141" s="191">
        <f>5833+197132</f>
        <v>202965</v>
      </c>
      <c r="P141" s="191"/>
      <c r="Q141" s="191"/>
      <c r="R141" s="191"/>
      <c r="S141" s="191"/>
      <c r="T141" s="191"/>
      <c r="U141" s="191"/>
      <c r="V141" s="191"/>
      <c r="W141" s="191"/>
      <c r="X141" s="173">
        <f t="shared" si="51"/>
        <v>874620</v>
      </c>
      <c r="Y141" s="185"/>
    </row>
    <row r="142" spans="1:25" s="233" customFormat="1" ht="44.25" customHeight="1">
      <c r="A142" s="226"/>
      <c r="B142" s="181"/>
      <c r="C142" s="201" t="s">
        <v>160</v>
      </c>
      <c r="D142" s="193" t="s">
        <v>233</v>
      </c>
      <c r="E142" s="227" t="s">
        <v>108</v>
      </c>
      <c r="F142" s="228">
        <v>2012</v>
      </c>
      <c r="G142" s="228">
        <v>2032</v>
      </c>
      <c r="H142" s="229">
        <f>SUM(J142:W142)-K142</f>
        <v>3297044</v>
      </c>
      <c r="I142" s="230"/>
      <c r="J142" s="230"/>
      <c r="K142" s="230"/>
      <c r="L142" s="231">
        <v>81370</v>
      </c>
      <c r="M142" s="231">
        <f>175000+97617+95176</f>
        <v>367793</v>
      </c>
      <c r="N142" s="231">
        <f>175000+92735+90300</f>
        <v>358035</v>
      </c>
      <c r="O142" s="231">
        <f>150000+87855+87414</f>
        <v>325269</v>
      </c>
      <c r="P142" s="231">
        <f>175000+82975+80553</f>
        <v>338528</v>
      </c>
      <c r="Q142" s="231">
        <f>175000+78093+75653</f>
        <v>328746</v>
      </c>
      <c r="R142" s="231">
        <f>175000+73213+70772</f>
        <v>318985</v>
      </c>
      <c r="S142" s="231">
        <f>175000+68332+65892</f>
        <v>309224</v>
      </c>
      <c r="T142" s="231">
        <f>175000+63451+61010</f>
        <v>299461</v>
      </c>
      <c r="U142" s="231">
        <f>175000+58570+56129</f>
        <v>289699</v>
      </c>
      <c r="V142" s="231">
        <f>175000+53689+51245</f>
        <v>279934</v>
      </c>
      <c r="W142" s="230"/>
      <c r="X142" s="229">
        <f t="shared" si="51"/>
        <v>3297044</v>
      </c>
      <c r="Y142" s="232"/>
    </row>
    <row r="143" spans="1:25" s="243" customFormat="1" ht="27" hidden="1">
      <c r="A143" s="234"/>
      <c r="B143" s="181"/>
      <c r="C143" s="235" t="s">
        <v>160</v>
      </c>
      <c r="D143" s="236" t="s">
        <v>234</v>
      </c>
      <c r="E143" s="237" t="s">
        <v>108</v>
      </c>
      <c r="F143" s="237" t="s">
        <v>108</v>
      </c>
      <c r="G143" s="237" t="s">
        <v>108</v>
      </c>
      <c r="H143" s="238">
        <v>0</v>
      </c>
      <c r="I143" s="239"/>
      <c r="J143" s="238">
        <v>0</v>
      </c>
      <c r="K143" s="240"/>
      <c r="L143" s="238">
        <v>0</v>
      </c>
      <c r="M143" s="238">
        <v>0</v>
      </c>
      <c r="N143" s="238">
        <v>0</v>
      </c>
      <c r="O143" s="238">
        <v>0</v>
      </c>
      <c r="P143" s="238"/>
      <c r="Q143" s="238"/>
      <c r="R143" s="238"/>
      <c r="S143" s="238"/>
      <c r="T143" s="238"/>
      <c r="U143" s="238"/>
      <c r="V143" s="238"/>
      <c r="W143" s="238"/>
      <c r="X143" s="241">
        <f>SUM(J143:O143)</f>
        <v>0</v>
      </c>
      <c r="Y143" s="242"/>
    </row>
    <row r="144" spans="5:7" ht="15">
      <c r="E144" s="91"/>
      <c r="F144" s="91"/>
      <c r="G144" s="91"/>
    </row>
    <row r="145" spans="5:7" ht="15">
      <c r="E145" s="91"/>
      <c r="F145" s="91"/>
      <c r="G145" s="91"/>
    </row>
    <row r="146" spans="5:7" ht="15">
      <c r="E146" s="91"/>
      <c r="F146" s="91"/>
      <c r="G146" s="91"/>
    </row>
    <row r="147" spans="5:7" ht="15">
      <c r="E147" s="91"/>
      <c r="F147" s="91"/>
      <c r="G147" s="91"/>
    </row>
    <row r="148" spans="5:7" ht="15">
      <c r="E148" s="91"/>
      <c r="F148" s="91"/>
      <c r="G148" s="91"/>
    </row>
    <row r="149" spans="5:7" ht="15">
      <c r="E149" s="91"/>
      <c r="F149" s="91"/>
      <c r="G149" s="91"/>
    </row>
  </sheetData>
  <mergeCells count="43">
    <mergeCell ref="I3:K4"/>
    <mergeCell ref="L3:L4"/>
    <mergeCell ref="O3:O4"/>
    <mergeCell ref="P3:P4"/>
    <mergeCell ref="A1:X1"/>
    <mergeCell ref="A2:A4"/>
    <mergeCell ref="B2:D4"/>
    <mergeCell ref="E2:E4"/>
    <mergeCell ref="F2:G3"/>
    <mergeCell ref="H2:H4"/>
    <mergeCell ref="I2:W2"/>
    <mergeCell ref="X2:X4"/>
    <mergeCell ref="U3:U4"/>
    <mergeCell ref="V3:V4"/>
    <mergeCell ref="W3:W4"/>
    <mergeCell ref="B5:D5"/>
    <mergeCell ref="Q3:Q4"/>
    <mergeCell ref="R3:R4"/>
    <mergeCell ref="S3:S4"/>
    <mergeCell ref="T3:T4"/>
    <mergeCell ref="M3:M4"/>
    <mergeCell ref="N3:N4"/>
    <mergeCell ref="B6:D6"/>
    <mergeCell ref="B7:D7"/>
    <mergeCell ref="B8:D8"/>
    <mergeCell ref="B9:D9"/>
    <mergeCell ref="C10:D10"/>
    <mergeCell ref="C11:D11"/>
    <mergeCell ref="C12:D12"/>
    <mergeCell ref="C13:D13"/>
    <mergeCell ref="C68:D68"/>
    <mergeCell ref="C69:D69"/>
    <mergeCell ref="C70:D70"/>
    <mergeCell ref="C71:D71"/>
    <mergeCell ref="C75:D75"/>
    <mergeCell ref="C76:D76"/>
    <mergeCell ref="C77:D77"/>
    <mergeCell ref="C78:D78"/>
    <mergeCell ref="C140:D140"/>
    <mergeCell ref="C115:D115"/>
    <mergeCell ref="C116:D116"/>
    <mergeCell ref="C117:D117"/>
    <mergeCell ref="C118:D118"/>
  </mergeCells>
  <printOptions horizontalCentered="1"/>
  <pageMargins left="0.5902777777777778" right="0.5902777777777778" top="0.9951388888888889" bottom="0.875" header="0.5902777777777778" footer="0.5902777777777778"/>
  <pageSetup horizontalDpi="300" verticalDpi="300" orientation="landscape" paperSize="9" scale="26" r:id="rId1"/>
  <headerFooter alignWithMargins="0">
    <oddHeader>&amp;R&amp;"Times New Roman,Normalny"&amp;15Załącznik nr 2a &amp;12 do  uchwały Nr XXI/274/2012 z dnia 29 marca 2012 w sprawie  wieloletniej prognozy finansowej Gminy</oddHeader>
    <oddFooter>&amp;C&amp;"Times New Roman,Normalny"&amp;12Strona &amp;P z &amp;N</oddFooter>
  </headerFooter>
  <rowBreaks count="3" manualBreakCount="3">
    <brk id="46" max="255" man="1"/>
    <brk id="102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Zofia Werbolewska</cp:lastModifiedBy>
  <dcterms:modified xsi:type="dcterms:W3CDTF">2012-04-03T07:49:53Z</dcterms:modified>
  <cp:category/>
  <cp:version/>
  <cp:contentType/>
  <cp:contentStatus/>
</cp:coreProperties>
</file>