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6"/>
  </bookViews>
  <sheets>
    <sheet name="uchwała" sheetId="1" r:id="rId1"/>
    <sheet name="zał 1" sheetId="2" r:id="rId2"/>
    <sheet name="zał 2" sheetId="3" r:id="rId3"/>
    <sheet name="zał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0" sheetId="11" r:id="rId11"/>
    <sheet name="zał 11" sheetId="12" r:id="rId12"/>
    <sheet name="zał 12" sheetId="13" r:id="rId13"/>
    <sheet name="zał 13" sheetId="14" r:id="rId14"/>
    <sheet name="zał 14" sheetId="15" r:id="rId15"/>
    <sheet name="zał 15" sheetId="16" r:id="rId16"/>
    <sheet name="zał 16" sheetId="17" r:id="rId17"/>
    <sheet name="zał 17" sheetId="18" r:id="rId18"/>
    <sheet name="zał 18" sheetId="19" r:id="rId19"/>
    <sheet name="zał 19" sheetId="20" r:id="rId20"/>
    <sheet name="zał 20" sheetId="21" r:id="rId21"/>
    <sheet name="zał 21" sheetId="22" r:id="rId22"/>
    <sheet name="zał 22" sheetId="23" r:id="rId23"/>
    <sheet name="zał 23" sheetId="24" r:id="rId24"/>
    <sheet name="zał 24" sheetId="25" r:id="rId25"/>
    <sheet name="zał 25" sheetId="26" r:id="rId26"/>
    <sheet name="zał 26" sheetId="27" r:id="rId27"/>
    <sheet name="zał 27" sheetId="28" r:id="rId28"/>
    <sheet name="zał 28" sheetId="29" r:id="rId29"/>
    <sheet name="zał 29" sheetId="30" r:id="rId30"/>
  </sheets>
  <externalReferences>
    <externalReference r:id="rId33"/>
  </externalReferences>
  <definedNames>
    <definedName name="_xlnm.Print_Area" localSheetId="2">'zał 2'!$A$1:$I$137</definedName>
    <definedName name="_xlnm.Print_Area" localSheetId="7">'zał 7'!$A$1:$R$370</definedName>
    <definedName name="_xlnm.Print_Area" localSheetId="8">'zał 8'!$A$1:$R$62</definedName>
    <definedName name="_xlnm.Print_Area" localSheetId="9">'zał 9'!$A$1:$R$10</definedName>
    <definedName name="Excel_BuiltIn_Print_Area_28">"$#ODWOŁANIE.$#ODWOŁANIE$#ODWOŁANIE:$#ODWOŁANIE$#ODWOŁANIE"</definedName>
    <definedName name="Excel_BuiltIn_Print_Area_3_1">'zał 2'!$A$1:$H$137</definedName>
    <definedName name="Excel_BuiltIn_Print_Area_10_1">"$#ODWOŁANIE.$B$3:$D$13"</definedName>
    <definedName name="Excel_BuiltIn_Print_Area_11_1">"$#ODWOŁANIE.$A$3:$D$13"</definedName>
    <definedName name="Excel_BuiltIn_Print_Area_11_1_1">"$#ODWOŁANIE.$B$3:$E$6"</definedName>
    <definedName name="Excel_BuiltIn_Print_Area_11_1_1_1">"$#ODWOŁANIE.$B$3:$D$3"</definedName>
    <definedName name="Excel_BuiltIn_Print_Area_12_1">"$#ODWOŁANIE.$B$3:$D$4"</definedName>
    <definedName name="Excel_BuiltIn_Print_Area_13_1">"$#ODWOŁANIE.$B$3:$D$6"</definedName>
    <definedName name="Excel_BuiltIn_Print_Area_14_1">"$#ODWOŁANIE.$B$3:$D$13"</definedName>
    <definedName name="Excel_BuiltIn_Print_Area_17_1">"$#ODWOŁANIE.$B$3:$D$13"</definedName>
    <definedName name="Excel_BuiltIn_Print_Area_18_1">"$#ODWOŁANIE.$#ODWOŁANIE$#ODWOŁANIE:$#ODWOŁANIE$#ODWOŁANIE"</definedName>
    <definedName name="Excel_BuiltIn_Print_Area_18_1_1">"$#ODWOŁANIE.$B$3:$D$267"</definedName>
    <definedName name="Excel_BuiltIn_Print_Area_3_1_1">"$#ODWOŁANIE.$B$3:$D$5"</definedName>
    <definedName name="Excel_BuiltIn_Print_Area_33_1">"$#ODWOŁANIE.#ODWOŁANIE#ODWOŁANIE:#ODWOŁANIE#ODWOŁANIE"</definedName>
    <definedName name="Excel_BuiltIn_Print_Area_33_1_1">"$#ODWOŁANIE.$#ODWOŁANIE$#ODWOŁANIE:$#ODWOŁANIE$#ODWOŁANIE"</definedName>
    <definedName name="Excel_BuiltIn_Print_Area_6_1">'zał 7'!$A$1:$R$337</definedName>
    <definedName name="Excel_BuiltIn_Print_Area_7_1">'zał 8'!$A$1:$R$57</definedName>
    <definedName name="Excel_BuiltIn_Print_Area_8_1">"$#ODWOŁANIE.$B$3:$D$274"</definedName>
  </definedNames>
  <calcPr fullCalcOnLoad="1"/>
</workbook>
</file>

<file path=xl/sharedStrings.xml><?xml version="1.0" encoding="utf-8"?>
<sst xmlns="http://schemas.openxmlformats.org/spreadsheetml/2006/main" count="1940" uniqueCount="594">
  <si>
    <t xml:space="preserve">                                                        UCHWAŁA NR  /2010                                                                                                                        </t>
  </si>
  <si>
    <t xml:space="preserve">Rady Miejskiej w Barlinku </t>
  </si>
  <si>
    <t xml:space="preserve">z dnia .............. grudnia 2010 r. </t>
  </si>
  <si>
    <t>w sprawie uchwalenia budżetu Gminy Barlinek na 2011 rok</t>
  </si>
  <si>
    <t>Na podstawie art. 18 ust. 2 pkt. 4, pkt. 9 lit. „d” oraz lit. „i” ustawy z dnia 8 marca 1990 r. o samorządzie gminnym  (Dz U z  2001 r. Nr 142, poz. 1591 ze zmianami), uchwala się co następuje:</t>
  </si>
  <si>
    <t xml:space="preserve">§ 1. Ustala się dochody budżetu Gminy ( załącznik Nr 1) w wysokości: </t>
  </si>
  <si>
    <t xml:space="preserve">w tym: </t>
  </si>
  <si>
    <t xml:space="preserve">1. dochody bieżące            </t>
  </si>
  <si>
    <t xml:space="preserve">2. dochody majątkowe              </t>
  </si>
  <si>
    <t>w tym dochody związane z realizacją :</t>
  </si>
  <si>
    <t>1) zadań z zakresu administracji rządowej i innych zleconych jednostce samorządu terytorialnego odrębnymi ustawami, zgodnie z załącznikiem Nr 3,</t>
  </si>
  <si>
    <t>2) zadań wykonywanych na mocy porozumień z organami administracji rządowej, zgodnie z załącznikiem Nr 4,</t>
  </si>
  <si>
    <r>
      <t xml:space="preserve">§ 2. Ustala się wydatki budżetu Gminy  (załącznik Nr 6 ) </t>
    </r>
    <r>
      <rPr>
        <b/>
        <sz val="13"/>
        <color indexed="8"/>
        <rFont val="Times New Roman"/>
        <family val="1"/>
      </rPr>
      <t>w wysokości:</t>
    </r>
    <r>
      <rPr>
        <b/>
        <sz val="13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                 </t>
    </r>
  </si>
  <si>
    <t>w tym:</t>
  </si>
  <si>
    <t xml:space="preserve">1. wydatki bieżące            </t>
  </si>
  <si>
    <t xml:space="preserve">2. wydatki majątkowe  ( załącznik nr 11 )                       </t>
  </si>
  <si>
    <t>w tym wydatki związane z realizacją :</t>
  </si>
  <si>
    <t>1) zadań z zakresu administracji rządowej i innych zleconych jednostce samorządu terytorialnego odrębnymi ustawami, zgodnie z załącznikiem Nr 8,</t>
  </si>
  <si>
    <t>2) zadań wykonywanych na mocy porozumień z organami administracji rządowej, zgodnie z załącznikiem Nr 9,</t>
  </si>
  <si>
    <r>
      <t xml:space="preserve">§ 3.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Ustala się planowany deficyt budżetu Gminy,  który zostanie pokryty przychodami pochodzącymi z :</t>
    </r>
  </si>
  <si>
    <t xml:space="preserve">1)  zaciągniętych kredytów                                           </t>
  </si>
  <si>
    <r>
      <t xml:space="preserve">2) </t>
    </r>
    <r>
      <rPr>
        <sz val="13"/>
        <color indexed="8"/>
        <rFont val="Times New Roman"/>
        <family val="1"/>
      </rPr>
      <t xml:space="preserve"> emisji obligacji</t>
    </r>
  </si>
  <si>
    <t>3)  zaciągniętych pożyczek</t>
  </si>
  <si>
    <t xml:space="preserve">4) nadwyżki budżetowej z lat ubiegłych                                                    </t>
  </si>
  <si>
    <r>
      <t>5) ze spłaty pożyczek udzielonych</t>
    </r>
    <r>
      <rPr>
        <sz val="11"/>
        <rFont val="Times New Roman"/>
        <family val="1"/>
      </rPr>
      <t xml:space="preserve">                                                                     </t>
    </r>
  </si>
  <si>
    <t>6) wolnych środków, jako nadwyżki środków pieniężnych na rachunku bieżącym budżetu, wynikających z rozliczeń wyemitowanych papierów wartościowych, kredytów i pożyczek z lat ubiegłych</t>
  </si>
  <si>
    <r>
      <t xml:space="preserve">§ 4.  </t>
    </r>
    <r>
      <rPr>
        <sz val="13"/>
        <rFont val="Times New Roman"/>
        <family val="1"/>
      </rPr>
      <t xml:space="preserve">Ustala się przychody i rozchody budżetu Gminy ( załącznik Nr 27 ) w kwocie:    </t>
    </r>
    <r>
      <rPr>
        <b/>
        <sz val="13"/>
        <rFont val="Times New Roman"/>
        <family val="1"/>
      </rPr>
      <t xml:space="preserve">                       </t>
    </r>
  </si>
  <si>
    <r>
      <t xml:space="preserve">1) przychody   </t>
    </r>
    <r>
      <rPr>
        <sz val="11"/>
        <rFont val="Times New Roman"/>
        <family val="1"/>
      </rPr>
      <t xml:space="preserve">                                          </t>
    </r>
  </si>
  <si>
    <t>2) rozchody</t>
  </si>
  <si>
    <r>
      <t>§5.</t>
    </r>
    <r>
      <rPr>
        <b/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W budżecie tworzy się rezerwy:</t>
    </r>
  </si>
  <si>
    <t xml:space="preserve">1) ogólną w wysokości </t>
  </si>
  <si>
    <t>2) celową w kwocie z przeznaczeniem na: realizację zadań z zakresu zarządzania kryzysowego</t>
  </si>
  <si>
    <r>
      <t xml:space="preserve">§ 6. </t>
    </r>
    <r>
      <rPr>
        <sz val="13"/>
        <color indexed="8"/>
        <rFont val="Times New Roman"/>
        <family val="1"/>
      </rPr>
      <t>Ustala się wydatki jednostek pomocniczych</t>
    </r>
    <r>
      <rPr>
        <sz val="14"/>
        <color indexed="8"/>
        <rFont val="Times New Roman"/>
        <family val="1"/>
      </rPr>
      <t xml:space="preserve"> w wysokości:</t>
    </r>
  </si>
  <si>
    <r>
      <t xml:space="preserve">1) w ramach funduszu sołeckiego </t>
    </r>
    <r>
      <rPr>
        <sz val="13"/>
        <color indexed="8"/>
        <rFont val="Times New Roman"/>
        <family val="1"/>
      </rPr>
      <t xml:space="preserve"> (załącznik Nr 28)</t>
    </r>
  </si>
  <si>
    <t>2) w ramach pozostałych wydatków</t>
  </si>
  <si>
    <r>
      <t>§ 7.</t>
    </r>
    <r>
      <rPr>
        <sz val="13"/>
        <color indexed="8"/>
        <rFont val="Times New Roman"/>
        <family val="1"/>
      </rPr>
      <t xml:space="preserve"> Ustala się dochody i wydatki: </t>
    </r>
  </si>
  <si>
    <t>1) dochody z tytułu wydawania zezwoleń na sprzedaż napojów alkoholowych</t>
  </si>
  <si>
    <t>2) wydatki na realizację zadań określonych w gminnym programie profilaktyki i rozwiązywania problemów alkoholowych.</t>
  </si>
  <si>
    <t>3) wydatki na realizację zadań określonych w gminnym programie przeciwdziałania narkomanii</t>
  </si>
  <si>
    <r>
      <t>§ 8.</t>
    </r>
    <r>
      <rPr>
        <sz val="14"/>
        <color indexed="8"/>
        <rFont val="Times New Roman"/>
        <family val="1"/>
      </rPr>
      <t xml:space="preserve"> Ustala się limity zobowiązań z tytułu zaciąganych kredytów i pożyczek oraz emitowanych papierów wartościowych na:</t>
    </r>
  </si>
  <si>
    <r>
      <t xml:space="preserve">1) </t>
    </r>
    <r>
      <rPr>
        <sz val="14"/>
        <color indexed="8"/>
        <rFont val="Times New Roman"/>
        <family val="1"/>
      </rPr>
      <t>pokrycie występującego w ciągu roku przejściowego deficytu budżetu jednostki samorządu terytorialnego, do kwoty</t>
    </r>
  </si>
  <si>
    <r>
      <t xml:space="preserve">2)  </t>
    </r>
    <r>
      <rPr>
        <sz val="14"/>
        <color indexed="8"/>
        <rFont val="Times New Roman"/>
        <family val="1"/>
      </rPr>
      <t>finansowanie planowanego deficytu budżetu jednostki samorządu terytorialnego, do kwoty</t>
    </r>
  </si>
  <si>
    <r>
      <t>3)</t>
    </r>
    <r>
      <rPr>
        <sz val="14"/>
        <color indexed="8"/>
        <rFont val="Times New Roman"/>
        <family val="1"/>
      </rPr>
      <t>spłatę wcześniej zaciągniętych zobowiązań z tytułu emisji papierów wartościowych oraz zaciągniętych pożyczek i kredytów, do kwoty</t>
    </r>
  </si>
  <si>
    <r>
      <t xml:space="preserve">4) </t>
    </r>
    <r>
      <rPr>
        <sz val="14"/>
        <color indexed="8"/>
        <rFont val="Times New Roman"/>
        <family val="1"/>
      </rPr>
      <t>wyprzedzające finansowanie działań finansowanych ze środków pochodzących z budżetu Unii Europejskiej, do kwoty</t>
    </r>
  </si>
  <si>
    <r>
      <t>§ 9.</t>
    </r>
    <r>
      <rPr>
        <sz val="14"/>
        <color indexed="8"/>
        <rFont val="Times New Roman"/>
        <family val="1"/>
      </rPr>
      <t xml:space="preserve"> Ustala się limit zobowiązań z tytułu zaciąganych pożyczek w państwowych funduszach celowych na finansowanie wydatków na inwestycje i zakupy inwestycyjne ujęte w ramach przedsięwzięć, o których mowa w art. 226 ust. 3 ustawy o finansach publicznych, do kwoty</t>
    </r>
  </si>
  <si>
    <r>
      <t>§ 10.</t>
    </r>
    <r>
      <rPr>
        <sz val="13"/>
        <color indexed="8"/>
        <rFont val="Times New Roman"/>
        <family val="1"/>
      </rPr>
      <t xml:space="preserve"> Upoważnia się Burmistrza Barlinka do zaciągania kredytów i pożyczek oraz emitowania papierów wartościowych, o których mowa w § 8 oraz § 9, do wysokości kwot w nich określonych.</t>
    </r>
  </si>
  <si>
    <r>
      <t xml:space="preserve">§ 11. </t>
    </r>
    <r>
      <rPr>
        <sz val="13"/>
        <rFont val="Times New Roman"/>
        <family val="1"/>
      </rPr>
      <t>Ustala się plany wydatków szkół podstawowych, zgodnie z załącznikami Nr 15, 16, 17</t>
    </r>
  </si>
  <si>
    <r>
      <t xml:space="preserve">§ 12. </t>
    </r>
    <r>
      <rPr>
        <sz val="13"/>
        <rFont val="Times New Roman"/>
        <family val="1"/>
      </rPr>
      <t xml:space="preserve">Ustala się plany wydatków przedszkoli miejskich, zgodnie z załącznikami Nr 18, 19.  </t>
    </r>
  </si>
  <si>
    <r>
      <t xml:space="preserve">§ 13. </t>
    </r>
    <r>
      <rPr>
        <sz val="13"/>
        <rFont val="Times New Roman"/>
        <family val="1"/>
      </rPr>
      <t xml:space="preserve">Ustala się plany wydatków gimnazjów, zgodnie z załącznikami Nr 20, 21, 22.  </t>
    </r>
  </si>
  <si>
    <r>
      <t>§ 14.</t>
    </r>
    <r>
      <rPr>
        <sz val="13"/>
        <rFont val="Times New Roman"/>
        <family val="1"/>
      </rPr>
      <t xml:space="preserve"> Ustala   się   dotację:</t>
    </r>
  </si>
  <si>
    <t>1) dla jednostek sektora finansów publicznych:</t>
  </si>
  <si>
    <r>
      <t xml:space="preserve">a) podmiotowe </t>
    </r>
    <r>
      <rPr>
        <sz val="14"/>
        <rFont val="Times New Roman"/>
        <family val="1"/>
      </rPr>
      <t>(Załącznik Nr 23)</t>
    </r>
    <r>
      <rPr>
        <sz val="14"/>
        <color indexed="8"/>
        <rFont val="Times New Roman"/>
        <family val="1"/>
      </rPr>
      <t xml:space="preserve"> w kwocie</t>
    </r>
  </si>
  <si>
    <t>b) celowe  (Załącznik Nr 25) w kwocie</t>
  </si>
  <si>
    <t>2) dla jednostek spoza sektora finansów publicznych:</t>
  </si>
  <si>
    <r>
      <t xml:space="preserve">a) podmiotowe </t>
    </r>
    <r>
      <rPr>
        <sz val="14"/>
        <rFont val="Times New Roman"/>
        <family val="1"/>
      </rPr>
      <t>(Załącznik Nr 24)</t>
    </r>
    <r>
      <rPr>
        <sz val="14"/>
        <color indexed="8"/>
        <rFont val="Times New Roman"/>
        <family val="1"/>
      </rPr>
      <t xml:space="preserve"> w kwocie</t>
    </r>
  </si>
  <si>
    <t>b) celowe  (Załącznik Nr 26) w kwocie</t>
  </si>
  <si>
    <r>
      <t>§ 15.</t>
    </r>
    <r>
      <rPr>
        <sz val="13"/>
        <color indexed="8"/>
        <rFont val="Times New Roman"/>
        <family val="1"/>
      </rPr>
      <t xml:space="preserve"> Upoważnia się Burmistrza Barlinka do: </t>
    </r>
  </si>
  <si>
    <t>1) przekazania jednostkom organizacyjnym gminy uprawnień do dokonywania przeniesień planowanych wydatków ,</t>
  </si>
  <si>
    <r>
      <t xml:space="preserve">2) </t>
    </r>
    <r>
      <rPr>
        <sz val="14"/>
        <color indexed="8"/>
        <rFont val="Times New Roman"/>
        <family val="1"/>
      </rPr>
      <t xml:space="preserve">dokonywania zmian w planie wydat­ków </t>
    </r>
    <r>
      <rPr>
        <sz val="13"/>
        <color indexed="8"/>
        <rFont val="Times New Roman"/>
        <family val="1"/>
      </rPr>
      <t>na uposażenia i wynagrodzenia ze stosunku pracy oraz majątkowych,</t>
    </r>
  </si>
  <si>
    <r>
      <t xml:space="preserve">3) </t>
    </r>
    <r>
      <rPr>
        <sz val="13"/>
        <color indexed="8"/>
        <rFont val="Times New Roman"/>
        <family val="1"/>
      </rPr>
      <t>do zaciągania zobowiązań z tytułu umów, których realizacja w roku budżetowym i w latach następnych jest niezbędna do zapewnienia ciągłości działania jednostki i z których wynikające płatności wykraczają poza rok budżetowy.</t>
    </r>
  </si>
  <si>
    <t>4) przekazania uprawnień innym jednostkom organizacyjnym jednostki samorządu terytorialnego do zaciągania zobowiązań z tytułu umów, których realizacja w roku następnym jest niezbędna dla zapewnienia ciągłości działania jednostki i termin zapłaty upływa w roku następnym.</t>
  </si>
  <si>
    <t xml:space="preserve">5) udzielania poręczeń w roku budżetowym do wysokości 4.000.000 zł, oraz pożyczek do kwoty 150.000 zł, </t>
  </si>
  <si>
    <t>6) lokowania wolnych środków budżetowych na rachunkach bankowych w innych bankach niż bank prowadzący obsługę budżetu Gminy</t>
  </si>
  <si>
    <r>
      <t>§ 16.</t>
    </r>
    <r>
      <rPr>
        <sz val="13"/>
        <rFont val="Times New Roman"/>
        <family val="1"/>
      </rPr>
      <t xml:space="preserve"> Wykonanie uchwały powierza się Burmistrzowi Barlinka.</t>
    </r>
  </si>
  <si>
    <r>
      <t>§ 17</t>
    </r>
    <r>
      <rPr>
        <sz val="13"/>
        <rFont val="Times New Roman"/>
        <family val="1"/>
      </rPr>
      <t xml:space="preserve">. Uchwała wchodzi w życie z dniem 1 stycznia 2011 roku i podlega ogłoszeniu w Dzienniku Urzędowym Województwa Zachodniopomorskiego.  </t>
    </r>
  </si>
  <si>
    <t>Dochody budżetu Gminy na 2011 rok wg działów klasyfikacji budżetowej</t>
  </si>
  <si>
    <t>Dział</t>
  </si>
  <si>
    <t>Nazwa działu</t>
  </si>
  <si>
    <t>Plan ogółem</t>
  </si>
  <si>
    <t>Dochody bieżące</t>
  </si>
  <si>
    <t>Dochody majątkowe</t>
  </si>
  <si>
    <t>400</t>
  </si>
  <si>
    <t>600</t>
  </si>
  <si>
    <t>700</t>
  </si>
  <si>
    <t>710</t>
  </si>
  <si>
    <t>750</t>
  </si>
  <si>
    <t>751</t>
  </si>
  <si>
    <t>756</t>
  </si>
  <si>
    <t>758</t>
  </si>
  <si>
    <t>801</t>
  </si>
  <si>
    <t>852</t>
  </si>
  <si>
    <t>900</t>
  </si>
  <si>
    <t>921</t>
  </si>
  <si>
    <t>926</t>
  </si>
  <si>
    <t>Ogółem</t>
  </si>
  <si>
    <t>Dochody własne budżetu Gminy Barlinek w 2011 r.</t>
  </si>
  <si>
    <t>Rozdział</t>
  </si>
  <si>
    <t>§</t>
  </si>
  <si>
    <t>Źródła dochodów</t>
  </si>
  <si>
    <t xml:space="preserve">Plan </t>
  </si>
  <si>
    <t>z tego:</t>
  </si>
  <si>
    <t>wydatki na programy finansowane z udziałem środków, o których mowa w art.5 ust.1 pkt 2 i 3</t>
  </si>
  <si>
    <t>020</t>
  </si>
  <si>
    <t>Leśnictwo</t>
  </si>
  <si>
    <t>02095</t>
  </si>
  <si>
    <t>Pozostała działalność</t>
  </si>
  <si>
    <t>0750</t>
  </si>
  <si>
    <r>
      <t xml:space="preserve"> Dochody z najmu i dzierżawy składników majątkowych Skarbu Państwa,  j.s.t.  </t>
    </r>
    <r>
      <rPr>
        <sz val="12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</si>
  <si>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t xml:space="preserve">Wytwarzanie i zaopatrzenie w energię elektryczną, gaz i wodę </t>
  </si>
  <si>
    <t>Dostarczanie wody</t>
  </si>
  <si>
    <t xml:space="preserve">Dotacje celowe w ramach programów finansowanych z udziałem środków europejskich oraz środków, o których mowa w art. 5 ust. 1 pkt 3 oraz ust. 3 pkt 5 i 6 ustawy, lub płatności w ramach budżetu środków europejskich
</t>
  </si>
  <si>
    <t>Transport  i  łączność</t>
  </si>
  <si>
    <t>Drogi publiczne gminne</t>
  </si>
  <si>
    <t>6207</t>
  </si>
  <si>
    <t>6330</t>
  </si>
  <si>
    <t>Dotacje celowe otrzymane z budżetu państwa na realizację inwestycji i zakupów inwestycyjnych własnych gmin /związków gmin/</t>
  </si>
  <si>
    <r>
      <t>Gospodarka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mieszkaniowa</t>
    </r>
  </si>
  <si>
    <t>Gospodarka gruntami i nieruchomościami</t>
  </si>
  <si>
    <t>0470</t>
  </si>
  <si>
    <t xml:space="preserve"> Wpływy z opłat za zarząd, użytkowanie i użytkowanie wieczyste nieruchomości</t>
  </si>
  <si>
    <t>0690</t>
  </si>
  <si>
    <t xml:space="preserve"> Wpływy z różnych opłat</t>
  </si>
  <si>
    <t xml:space="preserve">Dochody z najmu i dzierżawy składników majątkowych Skarbu Państwa,  j.s.t lub innych jednostek zaliczanych do sektora finansów publicznych oraz innych umów o podobnym charakterze </t>
  </si>
  <si>
    <t>0760</t>
  </si>
  <si>
    <t xml:space="preserve"> 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</si>
  <si>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</si>
  <si>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</si>
  <si>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0920 </t>
  </si>
  <si>
    <t xml:space="preserve"> Pozostałe odsetki</t>
  </si>
  <si>
    <t xml:space="preserve">Działalność usługowa </t>
  </si>
  <si>
    <t>Cmentarze</t>
  </si>
  <si>
    <t>Administracja  publiczna</t>
  </si>
  <si>
    <t>Urzędy gmin (miast i miast na prawach powiatu)</t>
  </si>
  <si>
    <t>0570</t>
  </si>
  <si>
    <t xml:space="preserve">  Grzywny, mandaty i inne kary pieniężne od osób fizycznych  </t>
  </si>
  <si>
    <t xml:space="preserve">0830 </t>
  </si>
  <si>
    <t xml:space="preserve"> Wpływy z usług</t>
  </si>
  <si>
    <r>
      <t xml:space="preserve">
</t>
    </r>
    <r>
      <rPr>
        <b/>
        <sz val="12"/>
        <rFont val="Times New Roman"/>
        <family val="1"/>
      </rPr>
      <t>756</t>
    </r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</si>
  <si>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</si>
  <si>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</si>
  <si>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</si>
  <si>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 xml:space="preserve"> 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</si>
  <si>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</si>
  <si>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</si>
  <si>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</si>
  <si>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</si>
  <si>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 Podatek od nieruchomości</t>
  </si>
  <si>
    <t>0320</t>
  </si>
  <si>
    <t xml:space="preserve"> Podatek rolny</t>
  </si>
  <si>
    <t>0330</t>
  </si>
  <si>
    <t xml:space="preserve"> Podatek leśny </t>
  </si>
  <si>
    <t>0340</t>
  </si>
  <si>
    <t xml:space="preserve"> Podatek od środków transportowych</t>
  </si>
  <si>
    <t>0500</t>
  </si>
  <si>
    <t xml:space="preserve"> Podatek od czynności cywilnoprawnych</t>
  </si>
  <si>
    <t xml:space="preserve"> Odsetki od nieterminowych wpłat z tytułu podatków i opłat</t>
  </si>
  <si>
    <t xml:space="preserve"> 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</si>
  <si>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</si>
  <si>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 xml:space="preserve"> Podatek leśny</t>
  </si>
  <si>
    <t>0360</t>
  </si>
  <si>
    <t xml:space="preserve"> Podatek od spadków i darowizn</t>
  </si>
  <si>
    <t>0370</t>
  </si>
  <si>
    <t xml:space="preserve"> Opłata od posiadania psów</t>
  </si>
  <si>
    <t>0430</t>
  </si>
  <si>
    <t xml:space="preserve">Wpływy z opłaty targowej </t>
  </si>
  <si>
    <t>Wpływy z różnych opłat</t>
  </si>
  <si>
    <t xml:space="preserve">Wpływy z innych opłat stanowiących dochody j.s.t. na podstawie ustaw </t>
  </si>
  <si>
    <t>0410</t>
  </si>
  <si>
    <t xml:space="preserve"> Wpływy z opłaty skarbowej</t>
  </si>
  <si>
    <t>0480</t>
  </si>
  <si>
    <t xml:space="preserve"> Wpływy z opłat za zezwolenia na sprzedaż alkoholu</t>
  </si>
  <si>
    <t>0490</t>
  </si>
  <si>
    <t xml:space="preserve"> Wpływy z innych lokalnych opłat pobieranych przez j.s.t. na podstawie odrębnych ustaw</t>
  </si>
  <si>
    <t xml:space="preserve"> Wpływy z różnych opłat </t>
  </si>
  <si>
    <t>Wpływy z różnych rozliczeń</t>
  </si>
  <si>
    <t>0970</t>
  </si>
  <si>
    <t xml:space="preserve"> Wpływy z różnych dochodów </t>
  </si>
  <si>
    <t>Udziały gmin w podatkach stanowiących dochód budżetu państwa</t>
  </si>
  <si>
    <t>0010</t>
  </si>
  <si>
    <t xml:space="preserve"> Podatek dochodowy od osób fizycznych</t>
  </si>
  <si>
    <t>0020</t>
  </si>
  <si>
    <t xml:space="preserve"> 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</si>
  <si>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</si>
  <si>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</si>
  <si>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</si>
  <si>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</si>
  <si>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j.s.t.</t>
  </si>
  <si>
    <t xml:space="preserve"> Subwencje ogólne z budżetu państwa</t>
  </si>
  <si>
    <t>Część wyrównawcza subwencji ogólnej dla gmin</t>
  </si>
  <si>
    <t>Część równoważąca subwencji ogólnej  dla gmin</t>
  </si>
  <si>
    <t>Oświata  i  wychowanie</t>
  </si>
  <si>
    <t>Szkoły podstawowe</t>
  </si>
  <si>
    <t>Wpływy z rożnych opłat</t>
  </si>
  <si>
    <t>0960</t>
  </si>
  <si>
    <t>Otrzymane spadki darowizny w postaci pieniężnej</t>
  </si>
  <si>
    <t>80104</t>
  </si>
  <si>
    <t>Przedszkola</t>
  </si>
  <si>
    <t xml:space="preserve">Dochody z najmu i dzierżawy składników majątkowych Skarbu Państwa, j.s.t. lub innych jednostek zaliczanych do sektora finansów publicznych oraz innych umów o podobnym charakterze  </t>
  </si>
  <si>
    <t>2310</t>
  </si>
  <si>
    <t>Dotacje celowe otrzymane z gminy na zadanie bieżące realizowane na podstawie porozumień ( umów) między jednostkami samorządu terytorialnego</t>
  </si>
  <si>
    <t>Gimnazja</t>
  </si>
  <si>
    <t xml:space="preserve"> Wpływy z różnych dochodów</t>
  </si>
  <si>
    <t>Stołówki szkolne</t>
  </si>
  <si>
    <t>2007</t>
  </si>
  <si>
    <t>2009</t>
  </si>
  <si>
    <t>Pomoc  społeczna</t>
  </si>
  <si>
    <t>Świadczenia rodzinne, zaliczka alimentacyjna oraz składki na ubezpieczenia emerytalne rentowe z ubezpieczenia społeczne</t>
  </si>
  <si>
    <t xml:space="preserve"> Dochody jednostek samorządu terytorialnego związane z realizacją zadań z zakresu administracji rządowej oraz innych zadań zleconych ustawami</t>
  </si>
  <si>
    <t>Składki na ubezpieczenie zdrowotne opłacane za osoby pobierające niektóre świadczenia z pomocy społecznej oraz niektóre świadczenia rodzinne</t>
  </si>
  <si>
    <t>Dotacje celowe otrzymane z budżetu państwa na realizację własnych zadań bieżących gmin</t>
  </si>
  <si>
    <t>Zasiłki i pomoc w naturze oraz składki na ubezpieczenia emerytalne i rentowe</t>
  </si>
  <si>
    <t>Zasiłki stałe</t>
  </si>
  <si>
    <t>Ośrodki Pomocy Społecznej</t>
  </si>
  <si>
    <t xml:space="preserve">Dotacje celowe otrzymane z budżetu państwa na realizację własnych zadań bieżących gmin </t>
  </si>
  <si>
    <t xml:space="preserve">85228
</t>
  </si>
  <si>
    <t>Usługi opiekuńcze i specjalistyczne usługi opiekuńcze</t>
  </si>
  <si>
    <t xml:space="preserve">  Wpływy z usług</t>
  </si>
  <si>
    <t>85295</t>
  </si>
  <si>
    <t>2030</t>
  </si>
  <si>
    <t>853</t>
  </si>
  <si>
    <t>Pozostałe zadania z zakresu polityki społecznej</t>
  </si>
  <si>
    <t>85395</t>
  </si>
  <si>
    <t>Gospodarka komunalna i ochrona  środowiska</t>
  </si>
  <si>
    <t>90019</t>
  </si>
  <si>
    <t>Wpływy i wydatki związane z gromadzeniem środków z opłat i kar za korzystanie ze środowiska</t>
  </si>
  <si>
    <t>Grzywny, mandaty i inne kary pieniężne od osób fizycznych</t>
  </si>
  <si>
    <t>Wpływy i wydatki związane z gromadzeniem środków z opłat produktowych</t>
  </si>
  <si>
    <t xml:space="preserve">
</t>
  </si>
  <si>
    <t xml:space="preserve">0400
</t>
  </si>
  <si>
    <t xml:space="preserve"> Wpływy z opłaty produktowej
</t>
  </si>
  <si>
    <t xml:space="preserve">Kultura  i  ochrona  dziedzictwa  narodowego </t>
  </si>
  <si>
    <t>Domy i ośrodki kultury, świetlice i kluby</t>
  </si>
  <si>
    <t>Wpływy z usług</t>
  </si>
  <si>
    <t>Kultura fizyczna</t>
  </si>
  <si>
    <t>Obiekty sportowe</t>
  </si>
  <si>
    <t>Zadania w zakresie kultury fizycznej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</si>
  <si>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</si>
  <si>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</si>
  <si>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Ogółem:</t>
  </si>
  <si>
    <t>Dochody budżetu Gminy Barlinek związane z realizacją zadań z zakresu administracji rządowej i innych zadań zleconych odrębnymi ustawami w 2011 r.</t>
  </si>
  <si>
    <t>Urzędy Wojewódzkie</t>
  </si>
  <si>
    <t xml:space="preserve"> Dotacje celowe otrzymane z budżetu państwa na realizację zadań bieżących z zakresu administracji rządowej oraz innych zadań zleconych gminie ustawami</t>
  </si>
  <si>
    <t xml:space="preserve">Urzędy naczelnych organów władzy 
państwowej, kontroli i ochrony prawa oraz sądownictwa  </t>
  </si>
  <si>
    <t xml:space="preserve">Urzędy naczelnych organów władzy państwowej, kontroli i ochrony prawa </t>
  </si>
  <si>
    <t>Pomoc społeczna</t>
  </si>
  <si>
    <t>Ośrodki Wsparcia</t>
  </si>
  <si>
    <t xml:space="preserve">Świadczenia rodzinne, zaliczka alimentacyjna, oraz składki na ubezpieczenia emerytalne i rentowe z ubezpieczenia społecznego </t>
  </si>
  <si>
    <t xml:space="preserve">
</t>
  </si>
  <si>
    <t>Dochody 
budżetu Gminy Barlinek związane z realizacją zadań z zakresu administracji rządowej wykonywanych na podstawie porozumień z organami administracji rządowej w 2011 r.</t>
  </si>
  <si>
    <t xml:space="preserve"> Dotacje celowe otrzymane z budżetu państwa na zadania  bieżące realizowane przez gminę na podstawie porozumień z organami administracji rządowej</t>
  </si>
  <si>
    <t>Dochody
budżetu Gminy Barlinek w 2011 r. (Środki Unijne)</t>
  </si>
  <si>
    <t>Wydatki budżetu Gminy na 2011 rok wg działów klasyfikacji budżetowej</t>
  </si>
  <si>
    <t>Wydatki bieżące</t>
  </si>
  <si>
    <t>Wydatki majątkowe</t>
  </si>
  <si>
    <t>010</t>
  </si>
  <si>
    <t>754</t>
  </si>
  <si>
    <t>757</t>
  </si>
  <si>
    <t>803</t>
  </si>
  <si>
    <t>851</t>
  </si>
  <si>
    <t>854</t>
  </si>
  <si>
    <t>Wydatki własne budżetu Gminy Barlinek w 2011 r.</t>
  </si>
  <si>
    <t>Nazwa paragrafu</t>
  </si>
  <si>
    <t>Plan</t>
  </si>
  <si>
    <t>z tego</t>
  </si>
  <si>
    <t>wydatki majątkowe</t>
  </si>
  <si>
    <t>Wydatki jednostek budżetowych</t>
  </si>
  <si>
    <t>Dotacje na zadania bieżące</t>
  </si>
  <si>
    <t>świadczenia na rzecz osób fizycznych</t>
  </si>
  <si>
    <t>Wydatki z tytułu poręczeń i gwarancji</t>
  </si>
  <si>
    <t>Obsługa długu</t>
  </si>
  <si>
    <t>inwestycje i zakupy inwestycyjne</t>
  </si>
  <si>
    <t>zakup i objęcie akcji i udziałów oraz wniesienie wkładów do spółek prawa handlowego</t>
  </si>
  <si>
    <t>Wynagrodzenia i składki od nich naliczane</t>
  </si>
  <si>
    <t>wydatki związane z realizacją ich zadań statutowych</t>
  </si>
  <si>
    <t>wydatki na programy finansowane z udziałem środków, o których mowa w art.5 ust.1 pkt 2i3</t>
  </si>
  <si>
    <t>Rolnictwo i łowiectwo</t>
  </si>
  <si>
    <t>01030</t>
  </si>
  <si>
    <t>Izby rolnicze</t>
  </si>
  <si>
    <t>Wpłaty gmin na rzecz izb rolniczych w wysokości 2% uzyskanych wpływów z podatku rolnego</t>
  </si>
  <si>
    <t xml:space="preserve"> Zakup usług pozostałych</t>
  </si>
  <si>
    <t xml:space="preserve"> Wydatki inwestycyjne jednostek budżetowych 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</si>
  <si>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</si>
  <si>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</si>
  <si>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 xml:space="preserve"> Zakup materiałów i wyposażenia</t>
  </si>
  <si>
    <t xml:space="preserve"> Zakup usług remontowych </t>
  </si>
  <si>
    <t xml:space="preserve"> Zakup usług remontowych</t>
  </si>
  <si>
    <t>Gospodarka  mieszkaniowa</t>
  </si>
  <si>
    <t xml:space="preserve"> Różne opłaty i składki</t>
  </si>
  <si>
    <t>Wypłaty z tytułu gwarancji i poręczeń</t>
  </si>
  <si>
    <t>Towarzystwa Budownictwa Społecznego</t>
  </si>
  <si>
    <t>Działalność  usługowa</t>
  </si>
  <si>
    <t>Plany zagospodarowania przestrzennego</t>
  </si>
  <si>
    <t>Prace geodezyjne i kartograficzne</t>
  </si>
  <si>
    <t>Rady gmin (miast i miast na prawach powiatu)</t>
  </si>
  <si>
    <t xml:space="preserve"> Różne wydatki na rzecz osób fizycznych</t>
  </si>
  <si>
    <t xml:space="preserve"> Zakup materiałów i wyposażenia </t>
  </si>
  <si>
    <t xml:space="preserve"> Wydatki osobowe niezaliczone do wynagrodzeń 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</si>
  <si>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</si>
  <si>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</si>
  <si>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</si>
  <si>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</si>
  <si>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>Wpłaty na PEFRON</t>
  </si>
  <si>
    <t xml:space="preserve"> Wynagrodzenia bezosobowe</t>
  </si>
  <si>
    <t xml:space="preserve"> Zakup energii </t>
  </si>
  <si>
    <t>Zakup usług remontowych</t>
  </si>
  <si>
    <t xml:space="preserve"> Zakup usług zdrowotnych </t>
  </si>
  <si>
    <t xml:space="preserve"> Zakup usług pozostałych </t>
  </si>
  <si>
    <t xml:space="preserve"> Zakup usług dostępu do sieci Internet</t>
  </si>
  <si>
    <t xml:space="preserve"> Opłaty z tytułu zakupu usług telekomunikacyjnych telefonii komórkowej</t>
  </si>
  <si>
    <t xml:space="preserve">Opłaty z tytułu zakupu usług telekomunikacyjnych telefonii stacjonarnej  </t>
  </si>
  <si>
    <t xml:space="preserve"> Zakup usług obejmujących tłumaczenia</t>
  </si>
  <si>
    <t xml:space="preserve"> Podróże służbowe krajowe</t>
  </si>
  <si>
    <t xml:space="preserve"> Podróże służbowe zagraniczne</t>
  </si>
  <si>
    <t>Odpisy na zakładowy fundusz świadczeń socjalnych</t>
  </si>
  <si>
    <t xml:space="preserve"> Koszty postępowania sądowego i prokuratorskiego</t>
  </si>
  <si>
    <t xml:space="preserve"> Szkolenia pracowników nie będących członkami korpusu służby cywilnej</t>
  </si>
  <si>
    <t xml:space="preserve">Promocja jednostek samorządu terytorialnego </t>
  </si>
  <si>
    <t>Różne wydatki na rzecz osób fizycznych</t>
  </si>
  <si>
    <t xml:space="preserve">
754</t>
  </si>
  <si>
    <t>Bezpieczeństwo publiczne  
i  ochrona  przeciwpożarowa</t>
  </si>
  <si>
    <t>Ochotnicze Straże Pożarne</t>
  </si>
  <si>
    <t xml:space="preserve"> Wydatki osobowe nie zaliczone do wynagrodzeń </t>
  </si>
  <si>
    <t>Zarządzanie kryzysowe</t>
  </si>
  <si>
    <t xml:space="preserve"> Rezerwy</t>
  </si>
  <si>
    <t xml:space="preserve">Dochody od osób prawnych,od osób fizycznych
i od innych jednostek nie posiadających
osobowości prawnej oraz wydatki związane
z ich poborem </t>
  </si>
  <si>
    <t xml:space="preserve">Pobór podatków, opłat i niepodatkowych należności budżetowych </t>
  </si>
  <si>
    <t>Wynagrodzenia agencyjno – prowizyjne</t>
  </si>
  <si>
    <t>Obsługa  długu  publicznego</t>
  </si>
  <si>
    <t>Obsługa papierów wartościowych, kredytów i pożyczek j.s.t.</t>
  </si>
  <si>
    <t>Rozliczenia z bankami związane z obsługą długu publicznego</t>
  </si>
  <si>
    <t>Odsetki od samorządowych papierów wartościowych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</si>
  <si>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</si>
  <si>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</si>
  <si>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</si>
  <si>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</si>
  <si>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</si>
  <si>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</si>
  <si>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</si>
  <si>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</si>
  <si>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</si>
  <si>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</si>
  <si>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</si>
  <si>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 xml:space="preserve"> Opłata z tytułu zakupu usług telekomunikacyjnych telefonii stacjonarnej</t>
  </si>
  <si>
    <t xml:space="preserve"> Różne opłaty i składki </t>
  </si>
  <si>
    <t xml:space="preserve"> Odpisy na zakładowy fundusz świadczeń socjalnych</t>
  </si>
  <si>
    <t>Podatek od nieruchomości</t>
  </si>
  <si>
    <t xml:space="preserve"> Wydatki inwestycyjne jednostek budżetowych</t>
  </si>
  <si>
    <t>Oddziały przedszkolne w szkołach podstawowych</t>
  </si>
  <si>
    <t xml:space="preserve"> Wynagrodzenia osobowe pracowników </t>
  </si>
  <si>
    <t>Zakup materiałów i wyposażenia</t>
  </si>
  <si>
    <t>Zakup pomocy naukowych, dydaktycznych i książek</t>
  </si>
  <si>
    <t>Zakup usług zdrowotnych</t>
  </si>
  <si>
    <t>Odpisy na Zakładowy Fundusz Świadczeń Socjalnych</t>
  </si>
  <si>
    <t xml:space="preserve">Przedszkola </t>
  </si>
  <si>
    <t xml:space="preserve"> Dotacja podmiotowa z budżetu dla niepublicznej jednostki systemu oświaty</t>
  </si>
  <si>
    <t>Wydatki osobowe niezaliczone do wynagrodzeń</t>
  </si>
  <si>
    <t>Dodatkowe wynagrodzenie roczne</t>
  </si>
  <si>
    <t>Składki na ubezpieczenia społeczne</t>
  </si>
  <si>
    <t>Składki na Fundusz Pracy</t>
  </si>
  <si>
    <t>Zakup energii</t>
  </si>
  <si>
    <t>Zakup usług pozostałych</t>
  </si>
  <si>
    <t>Zakup usług dostępu do sieci Internet</t>
  </si>
  <si>
    <t>Opłaty z tytułu zakupu usług telekom. telefonii stacjonarnej</t>
  </si>
  <si>
    <t>Podróże służbowe krajowe</t>
  </si>
  <si>
    <t>Różne opłaty i składki</t>
  </si>
  <si>
    <t>Szkolenia pracowników nie będących członkami korpusu służby cywilnej</t>
  </si>
  <si>
    <t xml:space="preserve"> Wydatki osobowe nie zaliczone do wynagrodzeń</t>
  </si>
  <si>
    <t>Stypendia dla uczniów</t>
  </si>
  <si>
    <t xml:space="preserve"> Dowożenie uczniów do szkół</t>
  </si>
  <si>
    <t xml:space="preserve"> Wydatki osobowe niezaliczane do wynagrodzeń </t>
  </si>
  <si>
    <t xml:space="preserve"> Opłata z tytułu usług telekomunikacyjnych telefonii komórkowej</t>
  </si>
  <si>
    <t>Podatek na rzecz jednostek budżetowych</t>
  </si>
  <si>
    <t>Dokształcanie i doskonalenie nauczycieli</t>
  </si>
  <si>
    <t xml:space="preserve">Zakup materiałów i wyposażenia </t>
  </si>
  <si>
    <t xml:space="preserve"> Zakup środków żywności</t>
  </si>
  <si>
    <t>Dotacja celowa z budżetu na finansowanie lub dofinansowanie zadań zleconych do realizacji stowarzyszeniom</t>
  </si>
  <si>
    <t>Szkolnictwo wyższe</t>
  </si>
  <si>
    <t>Ochrona  zdrowia</t>
  </si>
  <si>
    <t>Szpitale ogólne</t>
  </si>
  <si>
    <t xml:space="preserve">Zwalczanie narkomanii </t>
  </si>
  <si>
    <t>Dotacja celowa z budżetu na finansowanie lub dofinansowanie zadań zleconych  do realizacji stowarzyszeniom</t>
  </si>
  <si>
    <t>Przeciwdziałanie alkoholizmowi</t>
  </si>
  <si>
    <t>Dotacje celowe przekazane gminie na zadania bieżące realizowane na podstawie porozumień między j.s.t.</t>
  </si>
  <si>
    <t>Dotacja celowa z budżetu na finansowanie lub dofinansowanie zadań zleconych do realizacji pozostałym jednostkom niezaliczanym do sektora finansów publicznych</t>
  </si>
  <si>
    <t xml:space="preserve"> Szkolenia pracowników niebędących członkami korpusu służby cywilnej</t>
  </si>
  <si>
    <t>Składki na ubezpieczenie zdrowotne opłacane za  osoby pobierające  świadczenia z pomocy  społecznej oraz niektóre świadczenia rodzinne</t>
  </si>
  <si>
    <t xml:space="preserve"> Składki na ubezpieczenie zdrowotne</t>
  </si>
  <si>
    <t xml:space="preserve">Zasiłki i pomoc w naturze oraz składki na ubezpieczenia emerytalne i rentowe  </t>
  </si>
  <si>
    <t xml:space="preserve"> Świadczenia społeczne</t>
  </si>
  <si>
    <t xml:space="preserve"> Zakup usług przez j.s.t. od innych j.s.t.</t>
  </si>
  <si>
    <t>Dodatki mieszkaniowe</t>
  </si>
  <si>
    <t xml:space="preserve"> Świadczenia społeczne </t>
  </si>
  <si>
    <t xml:space="preserve">Ośrodki Pomocy Społecznej </t>
  </si>
  <si>
    <t xml:space="preserve"> Wynagrodzenia bezosobowe </t>
  </si>
  <si>
    <t xml:space="preserve"> Opłaty z tytułu zakupu usług telekomunikacyjnych telefonii komórkowej </t>
  </si>
  <si>
    <t xml:space="preserve"> Opłaty z tytułu zakupu usług telekomunikacyjnych telefonii stacjonarnej  </t>
  </si>
  <si>
    <t xml:space="preserve">Dotacja celowa z budżetu na finansowanie lub dofinansowanie zadań  zleconych do realizacji stowarzyszeniom  </t>
  </si>
  <si>
    <t>Świadczenia społeczne</t>
  </si>
  <si>
    <t>Wynagrodzenia bezosobowe</t>
  </si>
  <si>
    <t>Edukacyjna  opieka  wychowawcza</t>
  </si>
  <si>
    <t>Pomoc materialna dla uczniów</t>
  </si>
  <si>
    <t xml:space="preserve"> Inne formy pomocy dla uczniów</t>
  </si>
  <si>
    <t>Gospodarka  komunalna  i  ochrona  środowiska</t>
  </si>
  <si>
    <t>Gospodarka ściekowa i ochrona wód</t>
  </si>
  <si>
    <t>Oczyszczanie miast i wsi</t>
  </si>
  <si>
    <t>Utrzymanie zieleni w miastach i gminach</t>
  </si>
  <si>
    <t xml:space="preserve">Schroniska dla zwierząt </t>
  </si>
  <si>
    <t xml:space="preserve">Oświetlenie ulic, placów i dróg </t>
  </si>
  <si>
    <t xml:space="preserve"> Zakup usług  remontowych</t>
  </si>
  <si>
    <t xml:space="preserve"> Dotacja celowa z budżetu na finansowanie lub dofinansowanie zadań  zleconych do realizacji stowarzyszeniom  </t>
  </si>
  <si>
    <t xml:space="preserve">  Zakup usług pozostałych</t>
  </si>
  <si>
    <t>Dotacja podmiotowa z budżetu dla samorządowej instytucji kultury</t>
  </si>
  <si>
    <t>Ochrona zabytków i opieka nad zabytkami</t>
  </si>
  <si>
    <t>Zakupy materiałów i wyposażenia</t>
  </si>
  <si>
    <t>Dotacje celowe przekazane dla powiatu na zadania bieżące realizowane na podstawie porozumień między j.s.t.</t>
  </si>
  <si>
    <t>Wydatki
budżetu Gminy Barlinek
związane z realizacją zadań z zakresu administracji rządowej i innych zadań zleconych odrębnymi ustawami w 2011 r.</t>
  </si>
  <si>
    <t xml:space="preserve"> Opłaty z tytułu zakupu usług telekomunikacyjnych telefonii stacjonarnej</t>
  </si>
  <si>
    <t xml:space="preserve"> Odpisy na zakładowy fundusz świadczeń socjalnych </t>
  </si>
  <si>
    <t>Świadczenia rodzinne, zaliczka alimentacyjna oraz składki na ubezpieczenia emerytalne i rentowe z ubezpieczenia społecznego</t>
  </si>
  <si>
    <t xml:space="preserve">Zakup usług zdrowotnych </t>
  </si>
  <si>
    <t>Wydatki
budżetu Gminy Barlinek związane z realizacją zadań z zakresu administracji rządowej wykonywanych na podstawie porozumień z organami administracji rządowej w 2011 r.</t>
  </si>
  <si>
    <t>Wydatki budżetu Gminy Barlinek w 2011 (Środki Unijne)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</si>
  <si>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</si>
  <si>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</si>
  <si>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</si>
  <si>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</si>
  <si>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</si>
  <si>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</si>
  <si>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</si>
  <si>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</si>
  <si>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</si>
  <si>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</si>
  <si>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</si>
  <si>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</si>
  <si>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</si>
  <si>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</si>
  <si>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</si>
  <si>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</si>
  <si>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</si>
  <si>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</si>
  <si>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Plan wydatków inwestycyjnych  na 2011 rok </t>
  </si>
  <si>
    <t>Nazwa</t>
  </si>
  <si>
    <t xml:space="preserve">Plan
</t>
  </si>
  <si>
    <t>1. Modernizacja wodociągu w Lutówku</t>
  </si>
  <si>
    <t>2. Budowa sieci wodociągowej ul. Fabrycznej w Barlinku – finansowanie zgodnie z porozumieniem z HACON Sp.zoo</t>
  </si>
  <si>
    <t>1. Budowa stacji i sieci wodociągowej w Moczydle</t>
  </si>
  <si>
    <t>1.Przebudowa drogi wojewódzkiej Nr 156 na odcinku Mostkowo - Barlinek</t>
  </si>
  <si>
    <t>Wydatki inwestycyjne jednostek budżetowych</t>
  </si>
  <si>
    <t>1.Remont ul. Stodolnej</t>
  </si>
  <si>
    <t xml:space="preserve">1. Budowa ścieżki rowerowej z Barlinka do Krzynki </t>
  </si>
  <si>
    <t>Bezpieczeństwo publiczne
I ochrona  przeciwpożarowa</t>
  </si>
  <si>
    <t>1. Modernizacja strażnicy OSP w Barlinku na potrzeby Gminnego Centrum Ratownictwa</t>
  </si>
  <si>
    <t>1.Termomodernizacja obiektów użyteczności publicznej</t>
  </si>
  <si>
    <t>Akademia Sztuki w Szczecinie</t>
  </si>
  <si>
    <t>1. Budowa sieci  kanalizacyjnej ul. Fabrycznej w Barlinku – finansowanie zgodnie z porozumieniem z HACON Sp. zoo</t>
  </si>
  <si>
    <t>1. Przebudowa boiska piłkarskiego wraz z zapleczem techniczno -socjalnym przy ul. Sportowej w Barlinku</t>
  </si>
  <si>
    <t>Plan dochodów własnych jednostek budżetowych Gminy Barlinek na 2011 rok (Szkoły Podstawowe )</t>
  </si>
  <si>
    <t>Szkoła Podstawowa Nr 1</t>
  </si>
  <si>
    <t>Szkoła Podstawowa Nr 4</t>
  </si>
  <si>
    <t>Szkoła Podstawowa w Mostkowie</t>
  </si>
  <si>
    <t>Razem</t>
  </si>
  <si>
    <t xml:space="preserve"> Dochody z najmu i dzierżawy składników majątkowych Skarbu Państwa, j.s.t. lub innych jednostek zaliczanych do sektora finansów publicznych oraz innych umów o podobnym charakterze  </t>
  </si>
  <si>
    <t>0830</t>
  </si>
  <si>
    <t>0920</t>
  </si>
  <si>
    <t>Pozostałe odsetki</t>
  </si>
  <si>
    <t>80148</t>
  </si>
  <si>
    <t>Plan dochodów własnych jednostek budżetowych Gminy Barlinek na 2011 rok (Przedszkola Miejskie)</t>
  </si>
  <si>
    <t>Przedszkole Miejskie Nr 1</t>
  </si>
  <si>
    <t>Przedszkole Miejskie Nr 2</t>
  </si>
  <si>
    <t>Plan dochodów własnych jednostek budżetowych Gminy Barlinek na 2011 rok (Publiczne Gimnazja)</t>
  </si>
  <si>
    <t>Publiczne Gimnazjum Nr 1</t>
  </si>
  <si>
    <t>Publiczne Gimnazjum Nr 2</t>
  </si>
  <si>
    <t xml:space="preserve"> Gimnazjum dla Dorosłych</t>
  </si>
  <si>
    <t>Wpływy z różnych dochodów</t>
  </si>
  <si>
    <t>Wydatki jednostek budżetowych Gminy Barlinek na rok 2011 (Szkoła Podstawowa Nr 1)</t>
  </si>
  <si>
    <t>Wydatki osobowe nie zaliczone do wynagrodzeń</t>
  </si>
  <si>
    <t>Zasądzone renty</t>
  </si>
  <si>
    <t>Opłaty z tytułu zakupu usług telekomunikacyjnych telefonii stacjonarnej</t>
  </si>
  <si>
    <t>Stołówki szkolne i przedszkolne</t>
  </si>
  <si>
    <t>Zakup środków żywności</t>
  </si>
  <si>
    <t>Wydatki jednostek budżetowych Gminy Barlinek na rok 2011 (Szkoła Podstawowa Nr 4)</t>
  </si>
  <si>
    <t xml:space="preserve">Wynagrodzenia bezosobowe </t>
  </si>
  <si>
    <t>Wydatki jednostek budżetowych Gminy Barlinek na rok 2011( Szkoła Podstawowa w Mostkowie)</t>
  </si>
  <si>
    <t>Dodatkowe wynagrodzenia roczne</t>
  </si>
  <si>
    <t>Zakup usług dostępu do sieci internet</t>
  </si>
  <si>
    <t>Wydatki jednostek budżetowych Gminy Barlinek na rok 2011 (Przedszkole Miejskie Nr 1)</t>
  </si>
  <si>
    <t>Wydatki jednostek budżetowych Gminy Barlinek na rok 2011 (Przedszkole Miejskie Nr 2)</t>
  </si>
  <si>
    <t>Wydatki jednostek budżetowych Gminy Barlinek na rok 2011 (Gimnazjum Publiczne Nr 1)</t>
  </si>
  <si>
    <t>Wydatki jednostek budżetowych Gminy Barlinek na rok 2011 (Gimnazjum Publiczne Nr 2)</t>
  </si>
  <si>
    <t>Wydatki jednostek budżetowych Gminy Barlinek na rok 2011 (Gimnazjum dla Dorosłych)</t>
  </si>
  <si>
    <t>Dotacje podmiotowe dla jednostek sektora finansów publicznych udzielone z budżetu Gminy Barlinek w 2011 r.</t>
  </si>
  <si>
    <t>Nazwa jednostki lub działalności</t>
  </si>
  <si>
    <t>Kultura i ochrona dziedzictwa narodowego</t>
  </si>
  <si>
    <t>Barlinecki Ośrodek Kultury</t>
  </si>
  <si>
    <t>DOTACJE PODMIOTOWE DLA JEDNOSTEK SPOZA SEKTORA FINANSÓW PUBLICZNYCH NA 2011 ROK</t>
  </si>
  <si>
    <t>Oświata i wychowanie</t>
  </si>
  <si>
    <t xml:space="preserve">Dotacja podmiotowa dla niepublicznej jednostki systemu oświaty </t>
  </si>
  <si>
    <t>1.Niepubliczne przedszkole w Rychnowie</t>
  </si>
  <si>
    <t xml:space="preserve">  </t>
  </si>
  <si>
    <t xml:space="preserve">2.Niepubliczne przedszkole w Płonnie </t>
  </si>
  <si>
    <t>3.Niepubliczne przedszkole Bratek w Barlinku</t>
  </si>
  <si>
    <t>4.Niepubliczne przedszkole w Dziedzicach</t>
  </si>
  <si>
    <t>5.Centrum Prowum Jolana Rybarczyk</t>
  </si>
  <si>
    <t>Dotacje celowe udzielone z budżetu Gminy Barlinek na zadania własne gminy realizowane przez podmioty należące do sektora finansów publicznych w 2011 r.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</si>
  <si>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</si>
  <si>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>Dotacje celowe przekazane dla powiatu na zadania bieżące realizowane na podstawie porozumień (umów) między jednostkami samorządu terytorialnego</t>
  </si>
  <si>
    <t>Dotacje celowe udzielone z budżetu Gminy Barlinek na zadania własne gminy realizowane przez podmioty nienależące do sektora finansów publicznych w 2011 r.</t>
  </si>
  <si>
    <t xml:space="preserve">Dotacja celowa z  budżetu na finansowanie lub dofinansowanie zadań zleconych do realizacji stowarzyszeniom </t>
  </si>
  <si>
    <t>Ochrona zdrowia</t>
  </si>
  <si>
    <t>Zwalczanie narkomanii</t>
  </si>
  <si>
    <t xml:space="preserve">Dotacja celowa z budżetu na finansowanie lub dofinansowanie zadań zleconych do realizacji stowarzyszeniom </t>
  </si>
  <si>
    <t>Przychody i rozchody
budżetu Gminy Barlinek
W 2011 roku</t>
  </si>
  <si>
    <t>Lp.</t>
  </si>
  <si>
    <t>Treść</t>
  </si>
  <si>
    <t>Klasyfikacja
§</t>
  </si>
  <si>
    <t>Kwota
2010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</si>
  <si>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</si>
  <si>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</si>
  <si>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</si>
  <si>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</si>
  <si>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</si>
  <si>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</si>
  <si>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</si>
  <si>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</si>
  <si>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</si>
  <si>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</si>
  <si>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</si>
  <si>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</si>
  <si>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</si>
  <si>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</si>
  <si>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</si>
  <si>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</si>
  <si>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</si>
  <si>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</si>
  <si>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</si>
  <si>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</si>
  <si>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</si>
  <si>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</si>
  <si>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</t>
  </si>
  <si>
    <t>§ 950</t>
  </si>
  <si>
    <t>9.</t>
  </si>
  <si>
    <t xml:space="preserve">Inne źródła </t>
  </si>
  <si>
    <t>§ 955</t>
  </si>
  <si>
    <t>Rozchody ogółem:</t>
  </si>
  <si>
    <t>Spłaty kredytów</t>
  </si>
  <si>
    <t>§ 992</t>
  </si>
  <si>
    <t>Gospodarczy Bank Spółdzielczy w Barlinku</t>
  </si>
  <si>
    <t xml:space="preserve">Bank Gospodarstwa Krajowego w Szczecinie 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</si>
  <si>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</si>
  <si>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</si>
  <si>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</si>
  <si>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</si>
  <si>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</si>
  <si>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</si>
  <si>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</si>
  <si>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</si>
  <si>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</si>
  <si>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</si>
  <si>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</si>
  <si>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jednostek pomocniczych
w ramach budżetu budżetu Gminy Barlinek w 2011 r.</t>
  </si>
  <si>
    <t>Jednostka pomocnicza</t>
  </si>
  <si>
    <t xml:space="preserve">Plan wydatków
ogółem
</t>
  </si>
  <si>
    <t>Fundusz sołecki</t>
  </si>
  <si>
    <t>Pozostałe wydatki</t>
  </si>
  <si>
    <t>Dziedzice</t>
  </si>
  <si>
    <t>Dzikowo</t>
  </si>
  <si>
    <t>Dzikówko</t>
  </si>
  <si>
    <t>Jarząbki</t>
  </si>
  <si>
    <t>Krzynka</t>
  </si>
  <si>
    <t>Lutówko</t>
  </si>
  <si>
    <t>Łubianka</t>
  </si>
  <si>
    <t>Moczkowo</t>
  </si>
  <si>
    <t>Moczydło</t>
  </si>
  <si>
    <t>Mostkowo</t>
  </si>
  <si>
    <t>Okunie</t>
  </si>
  <si>
    <t>Osina</t>
  </si>
  <si>
    <t>Ożar</t>
  </si>
  <si>
    <t>Płonno</t>
  </si>
  <si>
    <t>Równo</t>
  </si>
  <si>
    <t>Rychnów</t>
  </si>
  <si>
    <t>Strąpie</t>
  </si>
  <si>
    <t>Swadzim</t>
  </si>
  <si>
    <t>Żydowo</t>
  </si>
  <si>
    <t>Dochody i wydatki realizowane na podstawie Prawo ochrony środowiska na 2011 rok</t>
  </si>
  <si>
    <t>Wyszczególnienie</t>
  </si>
  <si>
    <t>Dochody</t>
  </si>
  <si>
    <t>Przewidywane wpływy za korzystanie ze środowiska</t>
  </si>
  <si>
    <t>Przewidywane wpływy z tytułu kar i grzywien</t>
  </si>
  <si>
    <t>Odsetki bankowe</t>
  </si>
  <si>
    <t>Wydatki</t>
  </si>
  <si>
    <t>Utrzymanie kanalizacji deszczowej</t>
  </si>
  <si>
    <t>Edukacja ekologiczne i propagowanie działań proekologicznych (konkursy, nagrody, materiały szkoleniowe, Sprzątanie świata</t>
  </si>
  <si>
    <t>a) edukacja ekologiczna i działania proekologicznych</t>
  </si>
  <si>
    <t>b) utrzymanie tablic edukacyjnych przy trasach spacerowych</t>
  </si>
  <si>
    <t>Gospodarka wodno – ściekowa</t>
  </si>
  <si>
    <t>a) melioracje – konserwacja rowów stanowiących własność gminy</t>
  </si>
  <si>
    <t>b) konserwacja, naprawa nadzór aeratora na jeziorze Barlineckim</t>
  </si>
  <si>
    <t xml:space="preserve">c) opieka nad dzikim ptactwem na jeziorze Barlineckim  (dokarmiani, leczenie, budki lęgowe) </t>
  </si>
  <si>
    <t>d) dofinansowanie wywozu ścieków (Stara Dziedzina), zastępczy wywóz ścieków</t>
  </si>
  <si>
    <t>e) utrzymanie kanalizacji deszczowej w Mostkowie, refundacja opłat</t>
  </si>
  <si>
    <t>f) opłaty na rzecz ochrony środowiska – kanaliza deszczowa – Przedsiębiorstwo Wodociągowo-Kanalizacyjne „Płonia” sp. zoo</t>
  </si>
  <si>
    <t>Wydatki różne</t>
  </si>
  <si>
    <t>a)zarybianie jeziora</t>
  </si>
  <si>
    <t>b)wycinka drzew i nasadzenia nowych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</si>
</sst>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@"/>
    <numFmt numFmtId="167" formatCode="#,##0.00"/>
    <numFmt numFmtId="168" formatCode="0"/>
    <numFmt numFmtId="169" formatCode="#,##0.0"/>
    <numFmt numFmtId="170" formatCode="0.00"/>
    <numFmt numFmtId="171" formatCode="0.0"/>
  </numFmts>
  <fonts count="8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u val="single"/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name val="Lucida Sans Unicode"/>
      <family val="2"/>
    </font>
    <font>
      <sz val="12"/>
      <name val="Arial CE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2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b/>
      <i/>
      <sz val="14"/>
      <name val="Times New Roman"/>
      <family val="1"/>
    </font>
    <font>
      <i/>
      <u val="single"/>
      <sz val="10"/>
      <name val="Times New Roman"/>
      <family val="1"/>
    </font>
    <font>
      <sz val="13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0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2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4" fillId="11" borderId="0" applyNumberFormat="0" applyBorder="0" applyAlignment="0" applyProtection="0"/>
    <xf numFmtId="164" fontId="4" fillId="7" borderId="0" applyNumberFormat="0" applyBorder="0" applyAlignment="0" applyProtection="0"/>
    <xf numFmtId="164" fontId="4" fillId="8" borderId="0" applyNumberFormat="0" applyBorder="0" applyAlignment="0" applyProtection="0"/>
    <xf numFmtId="164" fontId="4" fillId="12" borderId="0" applyNumberFormat="0" applyBorder="0" applyAlignment="0" applyProtection="0"/>
    <xf numFmtId="164" fontId="4" fillId="11" borderId="0" applyNumberFormat="0" applyBorder="0" applyAlignment="0" applyProtection="0"/>
    <xf numFmtId="164" fontId="4" fillId="3" borderId="0" applyNumberFormat="0" applyBorder="0" applyAlignment="0" applyProtection="0"/>
    <xf numFmtId="164" fontId="5" fillId="11" borderId="0" applyNumberFormat="0" applyBorder="0" applyAlignment="0" applyProtection="0"/>
    <xf numFmtId="164" fontId="5" fillId="7" borderId="0" applyNumberFormat="0" applyBorder="0" applyAlignment="0" applyProtection="0"/>
    <xf numFmtId="164" fontId="5" fillId="8" borderId="0" applyNumberFormat="0" applyBorder="0" applyAlignment="0" applyProtection="0"/>
    <xf numFmtId="164" fontId="5" fillId="12" borderId="0" applyNumberFormat="0" applyBorder="0" applyAlignment="0" applyProtection="0"/>
    <xf numFmtId="164" fontId="5" fillId="11" borderId="0" applyNumberFormat="0" applyBorder="0" applyAlignment="0" applyProtection="0"/>
    <xf numFmtId="164" fontId="5" fillId="3" borderId="0" applyNumberFormat="0" applyBorder="0" applyAlignment="0" applyProtection="0"/>
    <xf numFmtId="164" fontId="4" fillId="11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4" fillId="11" borderId="0" applyNumberFormat="0" applyBorder="0" applyAlignment="0" applyProtection="0"/>
    <xf numFmtId="164" fontId="4" fillId="16" borderId="0" applyNumberFormat="0" applyBorder="0" applyAlignment="0" applyProtection="0"/>
    <xf numFmtId="164" fontId="5" fillId="11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1" borderId="0" applyNumberFormat="0" applyBorder="0" applyAlignment="0" applyProtection="0"/>
    <xf numFmtId="164" fontId="5" fillId="16" borderId="0" applyNumberFormat="0" applyBorder="0" applyAlignment="0" applyProtection="0"/>
    <xf numFmtId="164" fontId="6" fillId="17" borderId="0" applyNumberFormat="0" applyBorder="0" applyAlignment="0" applyProtection="0"/>
    <xf numFmtId="164" fontId="7" fillId="2" borderId="1" applyNumberFormat="0" applyAlignment="0" applyProtection="0"/>
    <xf numFmtId="164" fontId="8" fillId="12" borderId="2" applyNumberFormat="0" applyAlignment="0" applyProtection="0"/>
    <xf numFmtId="164" fontId="9" fillId="3" borderId="1" applyNumberFormat="0" applyAlignment="0" applyProtection="0"/>
    <xf numFmtId="164" fontId="10" fillId="2" borderId="3" applyNumberFormat="0" applyAlignment="0" applyProtection="0"/>
    <xf numFmtId="164" fontId="11" fillId="1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1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12" borderId="2" applyNumberFormat="0" applyAlignment="0" applyProtection="0"/>
    <xf numFmtId="164" fontId="20" fillId="0" borderId="7" applyNumberFormat="0" applyFill="0" applyAlignment="0" applyProtection="0"/>
    <xf numFmtId="164" fontId="21" fillId="0" borderId="4" applyNumberFormat="0" applyFill="0" applyAlignment="0" applyProtection="0"/>
    <xf numFmtId="164" fontId="22" fillId="0" borderId="5" applyNumberFormat="0" applyFill="0" applyAlignment="0" applyProtection="0"/>
    <xf numFmtId="164" fontId="23" fillId="0" borderId="6" applyNumberFormat="0" applyFill="0" applyAlignment="0" applyProtection="0"/>
    <xf numFmtId="164" fontId="23" fillId="0" borderId="0" applyNumberFormat="0" applyFill="0" applyBorder="0" applyAlignment="0" applyProtection="0"/>
    <xf numFmtId="164" fontId="24" fillId="8" borderId="0" applyNumberFormat="0" applyBorder="0" applyAlignment="0" applyProtection="0"/>
    <xf numFmtId="164" fontId="25" fillId="8" borderId="0" applyNumberFormat="0" applyBorder="0" applyAlignment="0" applyProtection="0"/>
    <xf numFmtId="164" fontId="0" fillId="4" borderId="8" applyNumberFormat="0" applyAlignment="0" applyProtection="0"/>
    <xf numFmtId="164" fontId="26" fillId="2" borderId="1" applyNumberFormat="0" applyAlignment="0" applyProtection="0"/>
    <xf numFmtId="164" fontId="27" fillId="2" borderId="3" applyNumberFormat="0" applyAlignment="0" applyProtection="0"/>
    <xf numFmtId="164" fontId="28" fillId="0" borderId="9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9" applyNumberFormat="0" applyFill="0" applyAlignment="0" applyProtection="0"/>
    <xf numFmtId="164" fontId="31" fillId="0" borderId="0" applyNumberFormat="0" applyFill="0" applyBorder="0" applyAlignment="0" applyProtection="0"/>
    <xf numFmtId="164" fontId="0" fillId="4" borderId="8" applyNumberFormat="0" applyAlignment="0" applyProtection="0"/>
    <xf numFmtId="164" fontId="33" fillId="0" borderId="0" applyNumberFormat="0" applyFill="0" applyBorder="0" applyAlignment="0" applyProtection="0"/>
    <xf numFmtId="164" fontId="34" fillId="1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566">
    <xf numFmtId="164" fontId="0" fillId="0" borderId="0" xfId="0" applyAlignment="1">
      <alignment/>
    </xf>
    <xf numFmtId="164" fontId="35" fillId="0" borderId="10" xfId="0" applyFont="1" applyBorder="1" applyAlignment="1">
      <alignment vertical="center" wrapText="1"/>
    </xf>
    <xf numFmtId="165" fontId="35" fillId="0" borderId="10" xfId="0" applyNumberFormat="1" applyFont="1" applyBorder="1" applyAlignment="1">
      <alignment vertical="center" wrapText="1"/>
    </xf>
    <xf numFmtId="164" fontId="35" fillId="0" borderId="0" xfId="0" applyFont="1" applyAlignment="1">
      <alignment vertical="center" wrapText="1"/>
    </xf>
    <xf numFmtId="164" fontId="36" fillId="0" borderId="0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8" fillId="0" borderId="0" xfId="0" applyFont="1" applyBorder="1" applyAlignment="1">
      <alignment vertical="center" wrapText="1"/>
    </xf>
    <xf numFmtId="165" fontId="35" fillId="0" borderId="0" xfId="0" applyNumberFormat="1" applyFont="1" applyBorder="1" applyAlignment="1">
      <alignment vertical="center" wrapText="1"/>
    </xf>
    <xf numFmtId="164" fontId="35" fillId="0" borderId="0" xfId="0" applyFont="1" applyBorder="1" applyAlignment="1">
      <alignment horizontal="justify" vertical="center" wrapText="1"/>
    </xf>
    <xf numFmtId="164" fontId="35" fillId="0" borderId="0" xfId="0" applyFont="1" applyAlignment="1">
      <alignment horizontal="center" vertical="center" wrapText="1"/>
    </xf>
    <xf numFmtId="164" fontId="35" fillId="0" borderId="0" xfId="0" applyFont="1" applyBorder="1" applyAlignment="1">
      <alignment vertical="center" wrapText="1"/>
    </xf>
    <xf numFmtId="164" fontId="39" fillId="0" borderId="0" xfId="0" applyFont="1" applyBorder="1" applyAlignment="1">
      <alignment horizontal="justify" vertical="center" wrapText="1"/>
    </xf>
    <xf numFmtId="165" fontId="39" fillId="0" borderId="0" xfId="0" applyNumberFormat="1" applyFont="1" applyBorder="1" applyAlignment="1">
      <alignment vertical="top" wrapText="1"/>
    </xf>
    <xf numFmtId="165" fontId="35" fillId="0" borderId="0" xfId="0" applyNumberFormat="1" applyFont="1" applyBorder="1" applyAlignment="1">
      <alignment vertical="top" wrapText="1"/>
    </xf>
    <xf numFmtId="164" fontId="40" fillId="0" borderId="0" xfId="0" applyFont="1" applyAlignment="1">
      <alignment horizontal="justify" wrapText="1"/>
    </xf>
    <xf numFmtId="164" fontId="43" fillId="0" borderId="0" xfId="0" applyFont="1" applyAlignment="1">
      <alignment horizontal="justify" wrapText="1"/>
    </xf>
    <xf numFmtId="164" fontId="35" fillId="0" borderId="0" xfId="0" applyFont="1" applyAlignment="1">
      <alignment horizontal="justify" wrapText="1"/>
    </xf>
    <xf numFmtId="165" fontId="35" fillId="0" borderId="0" xfId="0" applyNumberFormat="1" applyFont="1" applyAlignment="1">
      <alignment vertical="top"/>
    </xf>
    <xf numFmtId="164" fontId="47" fillId="0" borderId="0" xfId="0" applyFont="1" applyAlignment="1">
      <alignment wrapText="1"/>
    </xf>
    <xf numFmtId="164" fontId="40" fillId="0" borderId="0" xfId="0" applyFont="1" applyAlignment="1">
      <alignment wrapText="1"/>
    </xf>
    <xf numFmtId="165" fontId="39" fillId="0" borderId="0" xfId="0" applyNumberFormat="1" applyFont="1" applyAlignment="1">
      <alignment/>
    </xf>
    <xf numFmtId="164" fontId="43" fillId="0" borderId="0" xfId="0" applyFont="1" applyAlignment="1">
      <alignment/>
    </xf>
    <xf numFmtId="164" fontId="46" fillId="0" borderId="0" xfId="0" applyFont="1" applyAlignment="1">
      <alignment/>
    </xf>
    <xf numFmtId="164" fontId="46" fillId="0" borderId="0" xfId="0" applyFont="1" applyAlignment="1">
      <alignment/>
    </xf>
    <xf numFmtId="166" fontId="35" fillId="0" borderId="0" xfId="0" applyNumberFormat="1" applyFont="1" applyAlignment="1">
      <alignment vertical="center"/>
    </xf>
    <xf numFmtId="164" fontId="35" fillId="0" borderId="0" xfId="0" applyFont="1" applyAlignment="1">
      <alignment vertical="center" wrapText="1"/>
    </xf>
    <xf numFmtId="165" fontId="35" fillId="0" borderId="0" xfId="0" applyNumberFormat="1" applyFont="1" applyAlignment="1">
      <alignment vertical="center"/>
    </xf>
    <xf numFmtId="164" fontId="35" fillId="0" borderId="0" xfId="0" applyFont="1" applyAlignment="1">
      <alignment vertical="center"/>
    </xf>
    <xf numFmtId="166" fontId="49" fillId="0" borderId="0" xfId="0" applyNumberFormat="1" applyFont="1" applyBorder="1" applyAlignment="1">
      <alignment horizontal="center" vertical="center" wrapText="1"/>
    </xf>
    <xf numFmtId="165" fontId="39" fillId="6" borderId="10" xfId="0" applyNumberFormat="1" applyFont="1" applyFill="1" applyBorder="1" applyAlignment="1">
      <alignment horizontal="center" vertical="center" wrapText="1"/>
    </xf>
    <xf numFmtId="165" fontId="39" fillId="12" borderId="10" xfId="0" applyNumberFormat="1" applyFont="1" applyFill="1" applyBorder="1" applyAlignment="1">
      <alignment horizontal="center" vertical="center" wrapText="1"/>
    </xf>
    <xf numFmtId="164" fontId="39" fillId="0" borderId="0" xfId="0" applyFont="1" applyAlignment="1">
      <alignment horizontal="center" vertical="center"/>
    </xf>
    <xf numFmtId="165" fontId="35" fillId="0" borderId="10" xfId="0" applyNumberFormat="1" applyFont="1" applyBorder="1" applyAlignment="1">
      <alignment horizontal="center" vertical="center" wrapText="1"/>
    </xf>
    <xf numFmtId="165" fontId="35" fillId="0" borderId="10" xfId="0" applyNumberFormat="1" applyFont="1" applyBorder="1" applyAlignment="1">
      <alignment vertical="center" wrapText="1"/>
    </xf>
    <xf numFmtId="165" fontId="39" fillId="12" borderId="10" xfId="0" applyNumberFormat="1" applyFont="1" applyFill="1" applyBorder="1" applyAlignment="1">
      <alignment horizontal="right" vertical="center" wrapText="1"/>
    </xf>
    <xf numFmtId="165" fontId="39" fillId="0" borderId="10" xfId="0" applyNumberFormat="1" applyFont="1" applyBorder="1" applyAlignment="1">
      <alignment horizontal="right" vertical="center" wrapText="1"/>
    </xf>
    <xf numFmtId="164" fontId="39" fillId="0" borderId="0" xfId="0" applyFont="1" applyAlignment="1">
      <alignment horizontal="right" vertical="center"/>
    </xf>
    <xf numFmtId="166" fontId="50" fillId="0" borderId="0" xfId="0" applyNumberFormat="1" applyFont="1" applyAlignment="1">
      <alignment vertical="center"/>
    </xf>
    <xf numFmtId="164" fontId="50" fillId="0" borderId="0" xfId="0" applyFont="1" applyAlignment="1">
      <alignment vertical="center"/>
    </xf>
    <xf numFmtId="164" fontId="50" fillId="0" borderId="0" xfId="0" applyFont="1" applyAlignment="1">
      <alignment horizontal="center" vertical="center"/>
    </xf>
    <xf numFmtId="164" fontId="50" fillId="0" borderId="0" xfId="0" applyFont="1" applyAlignment="1">
      <alignment vertical="center" wrapText="1"/>
    </xf>
    <xf numFmtId="164" fontId="50" fillId="0" borderId="0" xfId="0" applyFont="1" applyAlignment="1">
      <alignment horizontal="right" vertical="center"/>
    </xf>
    <xf numFmtId="164" fontId="51" fillId="6" borderId="10" xfId="0" applyFont="1" applyFill="1" applyBorder="1" applyAlignment="1">
      <alignment horizontal="center" vertical="center" wrapText="1"/>
    </xf>
    <xf numFmtId="164" fontId="51" fillId="6" borderId="10" xfId="0" applyFont="1" applyFill="1" applyBorder="1" applyAlignment="1">
      <alignment horizontal="left" vertical="center" wrapText="1"/>
    </xf>
    <xf numFmtId="164" fontId="52" fillId="0" borderId="0" xfId="0" applyFont="1" applyAlignment="1">
      <alignment horizontal="center" vertical="center"/>
    </xf>
    <xf numFmtId="164" fontId="53" fillId="0" borderId="0" xfId="0" applyFont="1" applyAlignment="1">
      <alignment horizontal="center" vertical="center"/>
    </xf>
    <xf numFmtId="166" fontId="53" fillId="10" borderId="10" xfId="0" applyNumberFormat="1" applyFont="1" applyFill="1" applyBorder="1" applyAlignment="1">
      <alignment horizontal="center" vertical="center" wrapText="1"/>
    </xf>
    <xf numFmtId="164" fontId="53" fillId="10" borderId="10" xfId="0" applyFont="1" applyFill="1" applyBorder="1" applyAlignment="1">
      <alignment horizontal="center" vertical="center" wrapText="1"/>
    </xf>
    <xf numFmtId="165" fontId="53" fillId="10" borderId="10" xfId="0" applyNumberFormat="1" applyFont="1" applyFill="1" applyBorder="1" applyAlignment="1">
      <alignment horizontal="center" vertical="center" wrapText="1"/>
    </xf>
    <xf numFmtId="166" fontId="54" fillId="19" borderId="10" xfId="0" applyNumberFormat="1" applyFont="1" applyFill="1" applyBorder="1" applyAlignment="1">
      <alignment horizontal="center" vertical="center"/>
    </xf>
    <xf numFmtId="164" fontId="54" fillId="19" borderId="10" xfId="0" applyFont="1" applyFill="1" applyBorder="1" applyAlignment="1">
      <alignment horizontal="center" vertical="center" wrapText="1"/>
    </xf>
    <xf numFmtId="165" fontId="54" fillId="19" borderId="10" xfId="0" applyNumberFormat="1" applyFont="1" applyFill="1" applyBorder="1" applyAlignment="1">
      <alignment horizontal="right" vertical="center"/>
    </xf>
    <xf numFmtId="166" fontId="54" fillId="0" borderId="10" xfId="0" applyNumberFormat="1" applyFont="1" applyBorder="1" applyAlignment="1">
      <alignment horizontal="center" vertical="center"/>
    </xf>
    <xf numFmtId="164" fontId="54" fillId="0" borderId="10" xfId="0" applyFont="1" applyBorder="1" applyAlignment="1">
      <alignment horizontal="left" vertical="center" wrapText="1"/>
    </xf>
    <xf numFmtId="165" fontId="54" fillId="0" borderId="10" xfId="0" applyNumberFormat="1" applyFont="1" applyBorder="1" applyAlignment="1">
      <alignment horizontal="right" vertical="center"/>
    </xf>
    <xf numFmtId="166" fontId="50" fillId="0" borderId="10" xfId="0" applyNumberFormat="1" applyFont="1" applyBorder="1" applyAlignment="1">
      <alignment horizontal="center" vertical="center"/>
    </xf>
    <xf numFmtId="164" fontId="50" fillId="0" borderId="10" xfId="0" applyFont="1" applyBorder="1" applyAlignment="1">
      <alignment horizontal="left" vertical="center" wrapText="1"/>
    </xf>
    <xf numFmtId="165" fontId="50" fillId="0" borderId="10" xfId="0" applyNumberFormat="1" applyFont="1" applyBorder="1" applyAlignment="1">
      <alignment horizontal="right" vertical="center"/>
    </xf>
    <xf numFmtId="165" fontId="55" fillId="0" borderId="10" xfId="0" applyNumberFormat="1" applyFont="1" applyBorder="1" applyAlignment="1">
      <alignment horizontal="right" vertical="center" wrapText="1"/>
    </xf>
    <xf numFmtId="165" fontId="54" fillId="19" borderId="10" xfId="0" applyNumberFormat="1" applyFont="1" applyFill="1" applyBorder="1" applyAlignment="1">
      <alignment horizontal="right" vertical="center" wrapText="1"/>
    </xf>
    <xf numFmtId="164" fontId="54" fillId="0" borderId="10" xfId="0" applyFont="1" applyBorder="1" applyAlignment="1">
      <alignment horizontal="center" vertical="center" wrapText="1"/>
    </xf>
    <xf numFmtId="164" fontId="54" fillId="0" borderId="10" xfId="0" applyFont="1" applyBorder="1" applyAlignment="1">
      <alignment horizontal="justify" vertical="center" wrapText="1"/>
    </xf>
    <xf numFmtId="165" fontId="54" fillId="0" borderId="10" xfId="0" applyNumberFormat="1" applyFont="1" applyBorder="1" applyAlignment="1">
      <alignment horizontal="right" vertical="center" wrapText="1"/>
    </xf>
    <xf numFmtId="164" fontId="50" fillId="0" borderId="10" xfId="0" applyFont="1" applyBorder="1" applyAlignment="1">
      <alignment horizontal="center" vertical="center" wrapText="1"/>
    </xf>
    <xf numFmtId="164" fontId="50" fillId="0" borderId="10" xfId="0" applyFont="1" applyBorder="1" applyAlignment="1">
      <alignment vertical="center" wrapText="1"/>
    </xf>
    <xf numFmtId="165" fontId="50" fillId="0" borderId="10" xfId="0" applyNumberFormat="1" applyFont="1" applyBorder="1" applyAlignment="1">
      <alignment horizontal="right" vertical="center" wrapText="1"/>
    </xf>
    <xf numFmtId="165" fontId="50" fillId="2" borderId="10" xfId="0" applyNumberFormat="1" applyFont="1" applyFill="1" applyBorder="1" applyAlignment="1">
      <alignment vertical="center" wrapText="1"/>
    </xf>
    <xf numFmtId="164" fontId="54" fillId="19" borderId="10" xfId="0" applyFont="1" applyFill="1" applyBorder="1" applyAlignment="1">
      <alignment horizontal="center" vertical="center"/>
    </xf>
    <xf numFmtId="164" fontId="54" fillId="0" borderId="10" xfId="0" applyFont="1" applyBorder="1" applyAlignment="1">
      <alignment horizontal="center" vertical="center"/>
    </xf>
    <xf numFmtId="164" fontId="54" fillId="0" borderId="10" xfId="0" applyFont="1" applyBorder="1" applyAlignment="1">
      <alignment vertical="center" wrapText="1"/>
    </xf>
    <xf numFmtId="164" fontId="50" fillId="0" borderId="10" xfId="0" applyFont="1" applyBorder="1" applyAlignment="1">
      <alignment horizontal="center" vertical="center"/>
    </xf>
    <xf numFmtId="164" fontId="50" fillId="0" borderId="10" xfId="0" applyFont="1" applyBorder="1" applyAlignment="1">
      <alignment wrapText="1"/>
    </xf>
    <xf numFmtId="166" fontId="57" fillId="0" borderId="10" xfId="0" applyNumberFormat="1" applyFont="1" applyBorder="1" applyAlignment="1">
      <alignment horizontal="center" vertical="center"/>
    </xf>
    <xf numFmtId="164" fontId="54" fillId="19" borderId="10" xfId="0" applyFont="1" applyFill="1" applyBorder="1" applyAlignment="1">
      <alignment horizontal="left" vertical="center" wrapText="1"/>
    </xf>
    <xf numFmtId="166" fontId="58" fillId="19" borderId="10" xfId="0" applyNumberFormat="1" applyFont="1" applyFill="1" applyBorder="1" applyAlignment="1">
      <alignment horizontal="center" vertical="center" wrapText="1"/>
    </xf>
    <xf numFmtId="167" fontId="55" fillId="0" borderId="10" xfId="0" applyNumberFormat="1" applyFont="1" applyBorder="1" applyAlignment="1">
      <alignment horizontal="right" vertical="center" wrapText="1"/>
    </xf>
    <xf numFmtId="164" fontId="59" fillId="0" borderId="0" xfId="0" applyFont="1" applyAlignment="1">
      <alignment vertical="center"/>
    </xf>
    <xf numFmtId="166" fontId="60" fillId="0" borderId="10" xfId="0" applyNumberFormat="1" applyFont="1" applyBorder="1" applyAlignment="1">
      <alignment horizontal="center" vertical="center"/>
    </xf>
    <xf numFmtId="165" fontId="61" fillId="0" borderId="10" xfId="0" applyNumberFormat="1" applyFont="1" applyBorder="1" applyAlignment="1">
      <alignment horizontal="right" vertical="center" wrapText="1"/>
    </xf>
    <xf numFmtId="164" fontId="54" fillId="0" borderId="0" xfId="0" applyFont="1" applyAlignment="1">
      <alignment vertical="center"/>
    </xf>
    <xf numFmtId="167" fontId="54" fillId="19" borderId="10" xfId="0" applyNumberFormat="1" applyFont="1" applyFill="1" applyBorder="1" applyAlignment="1">
      <alignment horizontal="right" vertical="center"/>
    </xf>
    <xf numFmtId="165" fontId="54" fillId="19" borderId="0" xfId="0" applyNumberFormat="1" applyFont="1" applyFill="1" applyBorder="1" applyAlignment="1">
      <alignment horizontal="right" vertical="center"/>
    </xf>
    <xf numFmtId="165" fontId="50" fillId="0" borderId="10" xfId="0" applyNumberFormat="1" applyFont="1" applyBorder="1" applyAlignment="1">
      <alignment vertical="center"/>
    </xf>
    <xf numFmtId="166" fontId="50" fillId="0" borderId="10" xfId="0" applyNumberFormat="1" applyFont="1" applyBorder="1" applyAlignment="1">
      <alignment horizontal="right" vertical="center"/>
    </xf>
    <xf numFmtId="166" fontId="57" fillId="0" borderId="10" xfId="0" applyNumberFormat="1" applyFont="1" applyBorder="1" applyAlignment="1">
      <alignment horizontal="center" vertical="top"/>
    </xf>
    <xf numFmtId="166" fontId="50" fillId="0" borderId="10" xfId="0" applyNumberFormat="1" applyFont="1" applyBorder="1" applyAlignment="1">
      <alignment horizontal="center" vertical="top"/>
    </xf>
    <xf numFmtId="164" fontId="50" fillId="0" borderId="10" xfId="0" applyFont="1" applyBorder="1" applyAlignment="1">
      <alignment horizontal="left" vertical="top" wrapText="1"/>
    </xf>
    <xf numFmtId="164" fontId="54" fillId="0" borderId="10" xfId="0" applyFont="1" applyBorder="1" applyAlignment="1">
      <alignment horizontal="center" vertical="center" wrapText="1"/>
    </xf>
    <xf numFmtId="164" fontId="54" fillId="0" borderId="10" xfId="0" applyFont="1" applyBorder="1" applyAlignment="1">
      <alignment vertical="center" wrapText="1"/>
    </xf>
    <xf numFmtId="167" fontId="54" fillId="0" borderId="10" xfId="0" applyNumberFormat="1" applyFont="1" applyBorder="1" applyAlignment="1">
      <alignment horizontal="right" vertical="center" wrapText="1"/>
    </xf>
    <xf numFmtId="165" fontId="54" fillId="0" borderId="10" xfId="0" applyNumberFormat="1" applyFont="1" applyBorder="1" applyAlignment="1">
      <alignment horizontal="right" vertical="center" wrapText="1"/>
    </xf>
    <xf numFmtId="167" fontId="50" fillId="0" borderId="10" xfId="0" applyNumberFormat="1" applyFont="1" applyFill="1" applyBorder="1" applyAlignment="1">
      <alignment horizontal="center" vertical="center"/>
    </xf>
    <xf numFmtId="167" fontId="50" fillId="0" borderId="10" xfId="0" applyNumberFormat="1" applyFont="1" applyBorder="1" applyAlignment="1">
      <alignment horizontal="left" vertical="center" wrapText="1"/>
    </xf>
    <xf numFmtId="167" fontId="50" fillId="0" borderId="10" xfId="0" applyNumberFormat="1" applyFont="1" applyBorder="1" applyAlignment="1">
      <alignment horizontal="right" vertical="center"/>
    </xf>
    <xf numFmtId="167" fontId="50" fillId="0" borderId="10" xfId="0" applyNumberFormat="1" applyFont="1" applyFill="1" applyBorder="1" applyAlignment="1">
      <alignment horizontal="right" vertical="center"/>
    </xf>
    <xf numFmtId="167" fontId="50" fillId="0" borderId="0" xfId="0" applyNumberFormat="1" applyFont="1" applyAlignment="1">
      <alignment vertical="center"/>
    </xf>
    <xf numFmtId="166" fontId="50" fillId="0" borderId="10" xfId="0" applyNumberFormat="1" applyFont="1" applyFill="1" applyBorder="1" applyAlignment="1">
      <alignment horizontal="center" vertical="center"/>
    </xf>
    <xf numFmtId="164" fontId="50" fillId="0" borderId="10" xfId="0" applyFont="1" applyBorder="1" applyAlignment="1">
      <alignment horizontal="left"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166" fontId="54" fillId="0" borderId="10" xfId="0" applyNumberFormat="1" applyFont="1" applyBorder="1" applyAlignment="1">
      <alignment horizontal="center" vertical="center" wrapText="1"/>
    </xf>
    <xf numFmtId="167" fontId="54" fillId="19" borderId="10" xfId="0" applyNumberFormat="1" applyFont="1" applyFill="1" applyBorder="1" applyAlignment="1">
      <alignment horizontal="center" vertical="center"/>
    </xf>
    <xf numFmtId="167" fontId="50" fillId="19" borderId="10" xfId="0" applyNumberFormat="1" applyFont="1" applyFill="1" applyBorder="1" applyAlignment="1">
      <alignment horizontal="center" vertical="center"/>
    </xf>
    <xf numFmtId="167" fontId="54" fillId="19" borderId="10" xfId="0" applyNumberFormat="1" applyFont="1" applyFill="1" applyBorder="1" applyAlignment="1">
      <alignment horizontal="center" vertical="top" wrapText="1"/>
    </xf>
    <xf numFmtId="165" fontId="54" fillId="19" borderId="10" xfId="0" applyNumberFormat="1" applyFont="1" applyFill="1" applyBorder="1" applyAlignment="1">
      <alignment horizontal="right" vertical="center"/>
    </xf>
    <xf numFmtId="167" fontId="54" fillId="0" borderId="10" xfId="0" applyNumberFormat="1" applyFont="1" applyFill="1" applyBorder="1" applyAlignment="1">
      <alignment horizontal="center" vertical="center"/>
    </xf>
    <xf numFmtId="167" fontId="54" fillId="0" borderId="10" xfId="0" applyNumberFormat="1" applyFont="1" applyFill="1" applyBorder="1" applyAlignment="1">
      <alignment horizontal="left" vertical="top" wrapText="1"/>
    </xf>
    <xf numFmtId="165" fontId="54" fillId="2" borderId="10" xfId="0" applyNumberFormat="1" applyFont="1" applyFill="1" applyBorder="1" applyAlignment="1">
      <alignment horizontal="right" vertical="center"/>
    </xf>
    <xf numFmtId="165" fontId="50" fillId="0" borderId="10" xfId="0" applyNumberFormat="1" applyFont="1" applyFill="1" applyBorder="1" applyAlignment="1">
      <alignment horizontal="right" vertical="center"/>
    </xf>
    <xf numFmtId="166" fontId="54" fillId="0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Border="1" applyAlignment="1">
      <alignment horizontal="right" vertical="center"/>
    </xf>
    <xf numFmtId="164" fontId="54" fillId="0" borderId="10" xfId="0" applyFont="1" applyBorder="1" applyAlignment="1">
      <alignment horizontal="justify" vertical="center"/>
    </xf>
    <xf numFmtId="166" fontId="50" fillId="0" borderId="10" xfId="0" applyNumberFormat="1" applyFont="1" applyBorder="1" applyAlignment="1">
      <alignment horizontal="center" vertical="center" wrapText="1"/>
    </xf>
    <xf numFmtId="165" fontId="54" fillId="19" borderId="10" xfId="0" applyNumberFormat="1" applyFont="1" applyFill="1" applyBorder="1" applyAlignment="1">
      <alignment horizontal="center" vertical="top" wrapText="1"/>
    </xf>
    <xf numFmtId="164" fontId="50" fillId="0" borderId="10" xfId="0" applyFont="1" applyBorder="1" applyAlignment="1">
      <alignment horizontal="justify" vertical="center"/>
    </xf>
    <xf numFmtId="166" fontId="54" fillId="6" borderId="10" xfId="0" applyNumberFormat="1" applyFont="1" applyFill="1" applyBorder="1" applyAlignment="1">
      <alignment horizontal="right" vertical="center"/>
    </xf>
    <xf numFmtId="165" fontId="50" fillId="0" borderId="0" xfId="0" applyNumberFormat="1" applyFont="1" applyAlignment="1">
      <alignment horizontal="right" vertical="center"/>
    </xf>
    <xf numFmtId="168" fontId="50" fillId="0" borderId="0" xfId="0" applyNumberFormat="1" applyFont="1" applyAlignment="1">
      <alignment horizontal="right" vertical="center"/>
    </xf>
    <xf numFmtId="165" fontId="50" fillId="0" borderId="0" xfId="0" applyNumberFormat="1" applyFont="1" applyAlignment="1">
      <alignment vertical="center"/>
    </xf>
    <xf numFmtId="164" fontId="52" fillId="0" borderId="0" xfId="0" applyFont="1" applyAlignment="1">
      <alignment vertical="center" wrapText="1"/>
    </xf>
    <xf numFmtId="164" fontId="52" fillId="0" borderId="0" xfId="0" applyFont="1" applyAlignment="1">
      <alignment vertical="center"/>
    </xf>
    <xf numFmtId="164" fontId="62" fillId="6" borderId="10" xfId="0" applyFont="1" applyFill="1" applyBorder="1" applyAlignment="1">
      <alignment horizontal="center" vertical="center" wrapText="1"/>
    </xf>
    <xf numFmtId="165" fontId="50" fillId="0" borderId="10" xfId="0" applyNumberFormat="1" applyFont="1" applyBorder="1" applyAlignment="1">
      <alignment vertical="center" wrapText="1"/>
    </xf>
    <xf numFmtId="164" fontId="54" fillId="19" borderId="11" xfId="0" applyFont="1" applyFill="1" applyBorder="1" applyAlignment="1">
      <alignment horizontal="center" vertical="top" wrapText="1"/>
    </xf>
    <xf numFmtId="169" fontId="54" fillId="19" borderId="10" xfId="0" applyNumberFormat="1" applyFont="1" applyFill="1" applyBorder="1" applyAlignment="1">
      <alignment vertical="center" wrapText="1"/>
    </xf>
    <xf numFmtId="164" fontId="54" fillId="0" borderId="11" xfId="0" applyFont="1" applyBorder="1" applyAlignment="1">
      <alignment horizontal="left" vertical="top" wrapText="1"/>
    </xf>
    <xf numFmtId="169" fontId="54" fillId="0" borderId="10" xfId="0" applyNumberFormat="1" applyFont="1" applyBorder="1" applyAlignment="1">
      <alignment vertical="center" wrapText="1"/>
    </xf>
    <xf numFmtId="164" fontId="50" fillId="0" borderId="10" xfId="0" applyFont="1" applyBorder="1" applyAlignment="1">
      <alignment horizontal="justify" vertical="center" wrapText="1"/>
    </xf>
    <xf numFmtId="164" fontId="58" fillId="0" borderId="10" xfId="0" applyFont="1" applyBorder="1" applyAlignment="1">
      <alignment vertical="center" wrapText="1"/>
    </xf>
    <xf numFmtId="164" fontId="54" fillId="6" borderId="10" xfId="0" applyFont="1" applyFill="1" applyBorder="1" applyAlignment="1">
      <alignment horizontal="right" vertical="center"/>
    </xf>
    <xf numFmtId="164" fontId="49" fillId="0" borderId="0" xfId="0" applyFont="1" applyBorder="1" applyAlignment="1">
      <alignment horizontal="center" vertical="center" wrapText="1"/>
    </xf>
    <xf numFmtId="164" fontId="62" fillId="6" borderId="10" xfId="0" applyFont="1" applyFill="1" applyBorder="1" applyAlignment="1">
      <alignment horizontal="left" vertical="center" wrapText="1"/>
    </xf>
    <xf numFmtId="164" fontId="63" fillId="0" borderId="0" xfId="0" applyFont="1" applyAlignment="1">
      <alignment horizontal="center" vertical="center"/>
    </xf>
    <xf numFmtId="164" fontId="54" fillId="12" borderId="10" xfId="0" applyFont="1" applyFill="1" applyBorder="1" applyAlignment="1">
      <alignment horizontal="right" vertical="center"/>
    </xf>
    <xf numFmtId="165" fontId="54" fillId="0" borderId="10" xfId="0" applyNumberFormat="1" applyFont="1" applyBorder="1" applyAlignment="1">
      <alignment horizontal="center" vertical="center"/>
    </xf>
    <xf numFmtId="164" fontId="55" fillId="0" borderId="0" xfId="0" applyFont="1" applyAlignment="1">
      <alignment vertical="center"/>
    </xf>
    <xf numFmtId="164" fontId="42" fillId="0" borderId="0" xfId="0" applyFont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6" fontId="54" fillId="6" borderId="10" xfId="0" applyNumberFormat="1" applyFont="1" applyFill="1" applyBorder="1" applyAlignment="1">
      <alignment horizontal="right" vertical="center" wrapText="1"/>
    </xf>
    <xf numFmtId="167" fontId="54" fillId="0" borderId="10" xfId="0" applyNumberFormat="1" applyFont="1" applyBorder="1" applyAlignment="1">
      <alignment horizontal="right" vertical="center" wrapText="1"/>
    </xf>
    <xf numFmtId="166" fontId="54" fillId="0" borderId="0" xfId="0" applyNumberFormat="1" applyFont="1" applyBorder="1" applyAlignment="1">
      <alignment horizontal="center" vertical="center"/>
    </xf>
    <xf numFmtId="164" fontId="54" fillId="0" borderId="0" xfId="0" applyFont="1" applyBorder="1" applyAlignment="1">
      <alignment horizontal="left" vertical="center" wrapText="1"/>
    </xf>
    <xf numFmtId="165" fontId="54" fillId="0" borderId="0" xfId="0" applyNumberFormat="1" applyFont="1" applyBorder="1" applyAlignment="1">
      <alignment horizontal="right" vertical="center"/>
    </xf>
    <xf numFmtId="166" fontId="50" fillId="0" borderId="0" xfId="0" applyNumberFormat="1" applyFont="1" applyBorder="1" applyAlignment="1">
      <alignment horizontal="center" vertical="center"/>
    </xf>
    <xf numFmtId="164" fontId="50" fillId="0" borderId="0" xfId="0" applyFont="1" applyBorder="1" applyAlignment="1">
      <alignment horizontal="left" vertical="center" wrapText="1"/>
    </xf>
    <xf numFmtId="165" fontId="50" fillId="0" borderId="0" xfId="0" applyNumberFormat="1" applyFont="1" applyBorder="1" applyAlignment="1">
      <alignment horizontal="right" vertical="center"/>
    </xf>
    <xf numFmtId="164" fontId="55" fillId="0" borderId="0" xfId="0" applyFont="1" applyBorder="1" applyAlignment="1">
      <alignment horizontal="right" vertical="center" wrapText="1"/>
    </xf>
    <xf numFmtId="166" fontId="57" fillId="0" borderId="0" xfId="0" applyNumberFormat="1" applyFont="1" applyBorder="1" applyAlignment="1">
      <alignment horizontal="center" vertical="center"/>
    </xf>
    <xf numFmtId="166" fontId="60" fillId="0" borderId="0" xfId="0" applyNumberFormat="1" applyFont="1" applyBorder="1" applyAlignment="1">
      <alignment horizontal="center"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 wrapText="1"/>
    </xf>
    <xf numFmtId="165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6" fontId="39" fillId="12" borderId="10" xfId="0" applyNumberFormat="1" applyFont="1" applyFill="1" applyBorder="1" applyAlignment="1">
      <alignment horizontal="center" vertical="center"/>
    </xf>
    <xf numFmtId="164" fontId="39" fillId="12" borderId="10" xfId="0" applyFont="1" applyFill="1" applyBorder="1" applyAlignment="1">
      <alignment horizontal="center" vertical="center" wrapText="1"/>
    </xf>
    <xf numFmtId="164" fontId="41" fillId="0" borderId="0" xfId="0" applyFont="1" applyAlignment="1">
      <alignment horizontal="center" vertical="center"/>
    </xf>
    <xf numFmtId="166" fontId="35" fillId="0" borderId="10" xfId="0" applyNumberFormat="1" applyFont="1" applyBorder="1" applyAlignment="1">
      <alignment horizontal="center" vertical="center"/>
    </xf>
    <xf numFmtId="164" fontId="35" fillId="0" borderId="10" xfId="0" applyFont="1" applyBorder="1" applyAlignment="1">
      <alignment vertical="center" wrapText="1"/>
    </xf>
    <xf numFmtId="170" fontId="35" fillId="0" borderId="10" xfId="0" applyNumberFormat="1" applyFont="1" applyBorder="1" applyAlignment="1">
      <alignment vertical="center" wrapText="1"/>
    </xf>
    <xf numFmtId="166" fontId="39" fillId="12" borderId="10" xfId="0" applyNumberFormat="1" applyFont="1" applyFill="1" applyBorder="1" applyAlignment="1">
      <alignment horizontal="right" vertical="center"/>
    </xf>
    <xf numFmtId="164" fontId="41" fillId="0" borderId="0" xfId="0" applyFont="1" applyAlignment="1">
      <alignment horizontal="right" vertical="center"/>
    </xf>
    <xf numFmtId="166" fontId="50" fillId="2" borderId="0" xfId="0" applyNumberFormat="1" applyFont="1" applyFill="1" applyAlignment="1">
      <alignment vertical="center" wrapText="1"/>
    </xf>
    <xf numFmtId="164" fontId="50" fillId="2" borderId="0" xfId="0" applyFont="1" applyFill="1" applyAlignment="1">
      <alignment horizontal="center" vertical="center" wrapText="1"/>
    </xf>
    <xf numFmtId="164" fontId="50" fillId="2" borderId="0" xfId="0" applyFont="1" applyFill="1" applyAlignment="1">
      <alignment horizontal="left" vertical="center" wrapText="1"/>
    </xf>
    <xf numFmtId="165" fontId="50" fillId="2" borderId="0" xfId="0" applyNumberFormat="1" applyFont="1" applyFill="1" applyAlignment="1">
      <alignment vertical="center" wrapText="1"/>
    </xf>
    <xf numFmtId="164" fontId="50" fillId="2" borderId="0" xfId="0" applyFont="1" applyFill="1" applyAlignment="1">
      <alignment vertical="center" wrapText="1"/>
    </xf>
    <xf numFmtId="164" fontId="50" fillId="2" borderId="0" xfId="0" applyFont="1" applyFill="1" applyAlignment="1">
      <alignment vertical="center"/>
    </xf>
    <xf numFmtId="166" fontId="65" fillId="2" borderId="0" xfId="0" applyNumberFormat="1" applyFont="1" applyFill="1" applyBorder="1" applyAlignment="1">
      <alignment horizontal="center" vertical="center" wrapText="1"/>
    </xf>
    <xf numFmtId="164" fontId="54" fillId="2" borderId="0" xfId="0" applyFont="1" applyFill="1" applyAlignment="1">
      <alignment vertical="center"/>
    </xf>
    <xf numFmtId="166" fontId="51" fillId="10" borderId="10" xfId="0" applyNumberFormat="1" applyFont="1" applyFill="1" applyBorder="1" applyAlignment="1">
      <alignment horizontal="center" vertical="center" wrapText="1"/>
    </xf>
    <xf numFmtId="166" fontId="51" fillId="10" borderId="10" xfId="0" applyNumberFormat="1" applyFont="1" applyFill="1" applyBorder="1" applyAlignment="1">
      <alignment horizontal="left" vertical="center" wrapText="1"/>
    </xf>
    <xf numFmtId="164" fontId="51" fillId="10" borderId="10" xfId="0" applyFont="1" applyFill="1" applyBorder="1" applyAlignment="1">
      <alignment horizontal="center" vertical="center" wrapText="1"/>
    </xf>
    <xf numFmtId="165" fontId="51" fillId="10" borderId="10" xfId="0" applyNumberFormat="1" applyFont="1" applyFill="1" applyBorder="1" applyAlignment="1">
      <alignment horizontal="left" vertical="center" wrapText="1"/>
    </xf>
    <xf numFmtId="165" fontId="51" fillId="10" borderId="10" xfId="0" applyNumberFormat="1" applyFont="1" applyFill="1" applyBorder="1" applyAlignment="1">
      <alignment horizontal="center" vertical="center" wrapText="1"/>
    </xf>
    <xf numFmtId="164" fontId="54" fillId="2" borderId="0" xfId="0" applyFont="1" applyFill="1" applyAlignment="1">
      <alignment horizontal="center" vertical="center"/>
    </xf>
    <xf numFmtId="164" fontId="61" fillId="2" borderId="0" xfId="0" applyFont="1" applyFill="1" applyAlignment="1">
      <alignment horizontal="center" vertical="center"/>
    </xf>
    <xf numFmtId="166" fontId="66" fillId="12" borderId="10" xfId="0" applyNumberFormat="1" applyFont="1" applyFill="1" applyBorder="1" applyAlignment="1">
      <alignment horizontal="center" vertical="center" wrapText="1"/>
    </xf>
    <xf numFmtId="164" fontId="66" fillId="12" borderId="10" xfId="0" applyFont="1" applyFill="1" applyBorder="1" applyAlignment="1">
      <alignment horizontal="center" vertical="center" wrapText="1"/>
    </xf>
    <xf numFmtId="165" fontId="66" fillId="12" borderId="10" xfId="0" applyNumberFormat="1" applyFont="1" applyFill="1" applyBorder="1" applyAlignment="1">
      <alignment horizontal="center" vertical="center" wrapText="1"/>
    </xf>
    <xf numFmtId="165" fontId="67" fillId="12" borderId="10" xfId="0" applyNumberFormat="1" applyFont="1" applyFill="1" applyBorder="1" applyAlignment="1">
      <alignment horizontal="center" vertical="center" wrapText="1"/>
    </xf>
    <xf numFmtId="164" fontId="67" fillId="2" borderId="0" xfId="0" applyFont="1" applyFill="1" applyAlignment="1">
      <alignment horizontal="center" vertical="center"/>
    </xf>
    <xf numFmtId="166" fontId="36" fillId="19" borderId="10" xfId="0" applyNumberFormat="1" applyFont="1" applyFill="1" applyBorder="1" applyAlignment="1">
      <alignment horizontal="center" vertical="center" wrapText="1"/>
    </xf>
    <xf numFmtId="164" fontId="36" fillId="19" borderId="10" xfId="0" applyFont="1" applyFill="1" applyBorder="1" applyAlignment="1">
      <alignment horizontal="center" vertical="center" wrapText="1"/>
    </xf>
    <xf numFmtId="165" fontId="36" fillId="19" borderId="10" xfId="0" applyNumberFormat="1" applyFont="1" applyFill="1" applyBorder="1" applyAlignment="1">
      <alignment horizontal="right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justify" vertical="center" wrapText="1"/>
    </xf>
    <xf numFmtId="165" fontId="36" fillId="0" borderId="10" xfId="0" applyNumberFormat="1" applyFont="1" applyBorder="1" applyAlignment="1">
      <alignment horizontal="right" vertical="center" wrapText="1"/>
    </xf>
    <xf numFmtId="164" fontId="68" fillId="0" borderId="10" xfId="0" applyFont="1" applyBorder="1" applyAlignment="1">
      <alignment vertical="center" wrapText="1"/>
    </xf>
    <xf numFmtId="164" fontId="68" fillId="0" borderId="10" xfId="0" applyFont="1" applyBorder="1" applyAlignment="1">
      <alignment horizontal="center" vertical="center" wrapText="1"/>
    </xf>
    <xf numFmtId="165" fontId="68" fillId="2" borderId="10" xfId="0" applyNumberFormat="1" applyFont="1" applyFill="1" applyBorder="1" applyAlignment="1">
      <alignment horizontal="right" vertical="center"/>
    </xf>
    <xf numFmtId="165" fontId="68" fillId="2" borderId="10" xfId="0" applyNumberFormat="1" applyFont="1" applyFill="1" applyBorder="1" applyAlignment="1">
      <alignment horizontal="right" vertical="center" wrapText="1"/>
    </xf>
    <xf numFmtId="165" fontId="68" fillId="0" borderId="10" xfId="0" applyNumberFormat="1" applyFont="1" applyBorder="1" applyAlignment="1">
      <alignment horizontal="right" vertical="center" wrapText="1"/>
    </xf>
    <xf numFmtId="164" fontId="68" fillId="2" borderId="10" xfId="0" applyFont="1" applyFill="1" applyBorder="1" applyAlignment="1">
      <alignment horizontal="right" vertical="center" wrapText="1"/>
    </xf>
    <xf numFmtId="165" fontId="68" fillId="0" borderId="10" xfId="0" applyNumberFormat="1" applyFont="1" applyBorder="1" applyAlignment="1">
      <alignment horizontal="right"/>
    </xf>
    <xf numFmtId="164" fontId="68" fillId="0" borderId="0" xfId="0" applyFont="1" applyAlignment="1">
      <alignment horizontal="right"/>
    </xf>
    <xf numFmtId="164" fontId="36" fillId="0" borderId="10" xfId="0" applyFont="1" applyBorder="1" applyAlignment="1">
      <alignment horizontal="center" vertical="center"/>
    </xf>
    <xf numFmtId="164" fontId="36" fillId="0" borderId="10" xfId="0" applyFont="1" applyBorder="1" applyAlignment="1">
      <alignment vertical="center" wrapText="1"/>
    </xf>
    <xf numFmtId="165" fontId="36" fillId="2" borderId="10" xfId="0" applyNumberFormat="1" applyFont="1" applyFill="1" applyBorder="1" applyAlignment="1">
      <alignment horizontal="right" vertical="center"/>
    </xf>
    <xf numFmtId="164" fontId="68" fillId="2" borderId="10" xfId="0" applyFont="1" applyFill="1" applyBorder="1" applyAlignment="1">
      <alignment horizontal="left" vertical="center" wrapText="1"/>
    </xf>
    <xf numFmtId="164" fontId="36" fillId="0" borderId="10" xfId="0" applyFont="1" applyBorder="1" applyAlignment="1">
      <alignment horizontal="left" vertical="center" wrapText="1"/>
    </xf>
    <xf numFmtId="164" fontId="68" fillId="0" borderId="10" xfId="0" applyFont="1" applyBorder="1" applyAlignment="1">
      <alignment horizontal="justify" vertical="center" wrapText="1"/>
    </xf>
    <xf numFmtId="164" fontId="68" fillId="0" borderId="10" xfId="0" applyFont="1" applyBorder="1" applyAlignment="1">
      <alignment horizontal="right"/>
    </xf>
    <xf numFmtId="168" fontId="50" fillId="2" borderId="0" xfId="0" applyNumberFormat="1" applyFont="1" applyFill="1" applyAlignment="1">
      <alignment vertical="center"/>
    </xf>
    <xf numFmtId="165" fontId="50" fillId="2" borderId="0" xfId="0" applyNumberFormat="1" applyFont="1" applyFill="1" applyAlignment="1">
      <alignment vertical="center"/>
    </xf>
    <xf numFmtId="164" fontId="69" fillId="2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vertical="center" wrapText="1"/>
    </xf>
    <xf numFmtId="164" fontId="68" fillId="0" borderId="10" xfId="0" applyFont="1" applyBorder="1" applyAlignment="1">
      <alignment horizontal="right" vertical="center"/>
    </xf>
    <xf numFmtId="164" fontId="68" fillId="0" borderId="10" xfId="0" applyFont="1" applyBorder="1" applyAlignment="1">
      <alignment horizontal="right" vertical="center" wrapText="1"/>
    </xf>
    <xf numFmtId="165" fontId="70" fillId="0" borderId="10" xfId="0" applyNumberFormat="1" applyFont="1" applyBorder="1" applyAlignment="1" applyProtection="1">
      <alignment vertical="center" wrapText="1"/>
      <protection/>
    </xf>
    <xf numFmtId="164" fontId="68" fillId="0" borderId="10" xfId="0" applyFont="1" applyBorder="1" applyAlignment="1">
      <alignment wrapText="1"/>
    </xf>
    <xf numFmtId="165" fontId="68" fillId="2" borderId="10" xfId="0" applyNumberFormat="1" applyFont="1" applyFill="1" applyBorder="1" applyAlignment="1">
      <alignment horizontal="right" vertical="top"/>
    </xf>
    <xf numFmtId="164" fontId="70" fillId="0" borderId="10" xfId="0" applyNumberFormat="1" applyFont="1" applyFill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left" vertical="center" wrapText="1"/>
    </xf>
    <xf numFmtId="165" fontId="36" fillId="0" borderId="10" xfId="0" applyNumberFormat="1" applyFont="1" applyFill="1" applyBorder="1" applyAlignment="1">
      <alignment horizontal="right" vertical="center" wrapText="1"/>
    </xf>
    <xf numFmtId="164" fontId="50" fillId="2" borderId="0" xfId="0" applyFont="1" applyFill="1" applyBorder="1" applyAlignment="1">
      <alignment vertical="center"/>
    </xf>
    <xf numFmtId="167" fontId="36" fillId="0" borderId="10" xfId="0" applyNumberFormat="1" applyFont="1" applyBorder="1" applyAlignment="1">
      <alignment horizontal="right" vertical="center" wrapText="1"/>
    </xf>
    <xf numFmtId="167" fontId="68" fillId="2" borderId="10" xfId="0" applyNumberFormat="1" applyFont="1" applyFill="1" applyBorder="1" applyAlignment="1">
      <alignment horizontal="right" vertical="center" wrapText="1"/>
    </xf>
    <xf numFmtId="164" fontId="36" fillId="19" borderId="10" xfId="0" applyFont="1" applyFill="1" applyBorder="1" applyAlignment="1">
      <alignment horizontal="center" vertical="top"/>
    </xf>
    <xf numFmtId="164" fontId="36" fillId="19" borderId="10" xfId="0" applyFont="1" applyFill="1" applyBorder="1" applyAlignment="1">
      <alignment horizontal="center" vertical="center"/>
    </xf>
    <xf numFmtId="164" fontId="36" fillId="19" borderId="10" xfId="0" applyFont="1" applyFill="1" applyBorder="1" applyAlignment="1">
      <alignment horizontal="center" vertical="top" wrapText="1"/>
    </xf>
    <xf numFmtId="164" fontId="36" fillId="2" borderId="10" xfId="0" applyFont="1" applyFill="1" applyBorder="1" applyAlignment="1">
      <alignment horizontal="center" vertical="top"/>
    </xf>
    <xf numFmtId="164" fontId="36" fillId="0" borderId="10" xfId="0" applyFont="1" applyBorder="1" applyAlignment="1">
      <alignment horizontal="center" vertical="top" wrapText="1"/>
    </xf>
    <xf numFmtId="165" fontId="36" fillId="0" borderId="10" xfId="0" applyNumberFormat="1" applyFont="1" applyBorder="1" applyAlignment="1">
      <alignment vertical="top" wrapText="1"/>
    </xf>
    <xf numFmtId="165" fontId="36" fillId="2" borderId="10" xfId="0" applyNumberFormat="1" applyFont="1" applyFill="1" applyBorder="1" applyAlignment="1">
      <alignment horizontal="right" vertical="center" wrapText="1"/>
    </xf>
    <xf numFmtId="164" fontId="68" fillId="2" borderId="10" xfId="0" applyFont="1" applyFill="1" applyBorder="1" applyAlignment="1">
      <alignment horizontal="center" vertical="top"/>
    </xf>
    <xf numFmtId="164" fontId="68" fillId="0" borderId="10" xfId="0" applyFont="1" applyBorder="1" applyAlignment="1">
      <alignment horizontal="center" vertical="center"/>
    </xf>
    <xf numFmtId="164" fontId="68" fillId="2" borderId="10" xfId="0" applyFont="1" applyFill="1" applyBorder="1" applyAlignment="1">
      <alignment horizontal="left" vertical="top" wrapText="1"/>
    </xf>
    <xf numFmtId="164" fontId="36" fillId="2" borderId="10" xfId="0" applyFont="1" applyFill="1" applyBorder="1" applyAlignment="1">
      <alignment horizontal="center" vertical="center" wrapText="1"/>
    </xf>
    <xf numFmtId="164" fontId="36" fillId="2" borderId="10" xfId="0" applyFont="1" applyFill="1" applyBorder="1" applyAlignment="1">
      <alignment horizontal="justify" vertical="center" wrapText="1"/>
    </xf>
    <xf numFmtId="164" fontId="68" fillId="2" borderId="10" xfId="0" applyFont="1" applyFill="1" applyBorder="1" applyAlignment="1">
      <alignment horizontal="center" vertical="center" wrapText="1"/>
    </xf>
    <xf numFmtId="164" fontId="68" fillId="2" borderId="10" xfId="0" applyFont="1" applyFill="1" applyBorder="1" applyAlignment="1">
      <alignment vertical="center" wrapText="1"/>
    </xf>
    <xf numFmtId="164" fontId="68" fillId="2" borderId="10" xfId="0" applyFont="1" applyFill="1" applyBorder="1" applyAlignment="1">
      <alignment horizontal="justify" vertical="center" wrapText="1"/>
    </xf>
    <xf numFmtId="164" fontId="68" fillId="0" borderId="10" xfId="0" applyFont="1" applyBorder="1" applyAlignment="1">
      <alignment horizontal="left" vertical="center" wrapText="1"/>
    </xf>
    <xf numFmtId="165" fontId="36" fillId="19" borderId="10" xfId="0" applyNumberFormat="1" applyFont="1" applyFill="1" applyBorder="1" applyAlignment="1">
      <alignment horizontal="right" vertical="top"/>
    </xf>
    <xf numFmtId="164" fontId="68" fillId="0" borderId="10" xfId="0" applyFont="1" applyBorder="1" applyAlignment="1">
      <alignment horizontal="center" vertical="top"/>
    </xf>
    <xf numFmtId="164" fontId="36" fillId="0" borderId="10" xfId="0" applyFont="1" applyBorder="1" applyAlignment="1">
      <alignment horizontal="center" vertical="top"/>
    </xf>
    <xf numFmtId="164" fontId="36" fillId="0" borderId="10" xfId="0" applyFont="1" applyBorder="1" applyAlignment="1">
      <alignment horizontal="justify" vertical="top" wrapText="1"/>
    </xf>
    <xf numFmtId="165" fontId="36" fillId="0" borderId="10" xfId="0" applyNumberFormat="1" applyFont="1" applyBorder="1" applyAlignment="1">
      <alignment horizontal="right" vertical="top"/>
    </xf>
    <xf numFmtId="164" fontId="68" fillId="0" borderId="10" xfId="0" applyFont="1" applyBorder="1" applyAlignment="1">
      <alignment horizontal="justify" vertical="top" wrapText="1"/>
    </xf>
    <xf numFmtId="165" fontId="68" fillId="0" borderId="10" xfId="0" applyNumberFormat="1" applyFont="1" applyBorder="1" applyAlignment="1">
      <alignment horizontal="right" vertical="top"/>
    </xf>
    <xf numFmtId="165" fontId="36" fillId="0" borderId="10" xfId="0" applyNumberFormat="1" applyFont="1" applyFill="1" applyBorder="1" applyAlignment="1">
      <alignment horizontal="right" vertical="center"/>
    </xf>
    <xf numFmtId="165" fontId="36" fillId="0" borderId="10" xfId="0" applyNumberFormat="1" applyFont="1" applyBorder="1" applyAlignment="1">
      <alignment horizontal="right" vertical="center"/>
    </xf>
    <xf numFmtId="165" fontId="68" fillId="0" borderId="10" xfId="0" applyNumberFormat="1" applyFont="1" applyBorder="1" applyAlignment="1">
      <alignment horizontal="right" vertical="center"/>
    </xf>
    <xf numFmtId="164" fontId="71" fillId="0" borderId="10" xfId="0" applyFont="1" applyBorder="1" applyAlignment="1">
      <alignment horizontal="center" vertical="center" wrapText="1"/>
    </xf>
    <xf numFmtId="164" fontId="72" fillId="0" borderId="10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justify"/>
    </xf>
    <xf numFmtId="165" fontId="36" fillId="19" borderId="10" xfId="0" applyNumberFormat="1" applyFont="1" applyFill="1" applyBorder="1" applyAlignment="1">
      <alignment horizontal="center" vertical="top" wrapText="1"/>
    </xf>
    <xf numFmtId="164" fontId="50" fillId="2" borderId="0" xfId="0" applyFont="1" applyFill="1" applyBorder="1" applyAlignment="1">
      <alignment horizontal="center" vertical="center" wrapText="1"/>
    </xf>
    <xf numFmtId="164" fontId="36" fillId="6" borderId="10" xfId="0" applyFont="1" applyFill="1" applyBorder="1" applyAlignment="1">
      <alignment horizontal="right" vertical="center" wrapText="1"/>
    </xf>
    <xf numFmtId="171" fontId="50" fillId="2" borderId="0" xfId="0" applyNumberFormat="1" applyFont="1" applyFill="1" applyAlignment="1">
      <alignment vertical="center" wrapText="1"/>
    </xf>
    <xf numFmtId="167" fontId="50" fillId="2" borderId="0" xfId="0" applyNumberFormat="1" applyFont="1" applyFill="1" applyAlignment="1">
      <alignment vertical="center" wrapText="1"/>
    </xf>
    <xf numFmtId="164" fontId="52" fillId="2" borderId="0" xfId="0" applyFont="1" applyFill="1" applyAlignment="1">
      <alignment horizontal="center" vertical="center"/>
    </xf>
    <xf numFmtId="165" fontId="62" fillId="10" borderId="10" xfId="0" applyNumberFormat="1" applyFont="1" applyFill="1" applyBorder="1" applyAlignment="1">
      <alignment horizontal="center" vertical="center" wrapText="1"/>
    </xf>
    <xf numFmtId="165" fontId="62" fillId="10" borderId="10" xfId="0" applyNumberFormat="1" applyFont="1" applyFill="1" applyBorder="1" applyAlignment="1">
      <alignment horizontal="left" vertical="center" wrapText="1"/>
    </xf>
    <xf numFmtId="164" fontId="62" fillId="10" borderId="10" xfId="0" applyFont="1" applyFill="1" applyBorder="1" applyAlignment="1">
      <alignment horizontal="center" vertical="center" wrapText="1"/>
    </xf>
    <xf numFmtId="164" fontId="52" fillId="10" borderId="10" xfId="0" applyFont="1" applyFill="1" applyBorder="1" applyAlignment="1">
      <alignment horizontal="center" vertical="center"/>
    </xf>
    <xf numFmtId="165" fontId="50" fillId="2" borderId="10" xfId="0" applyNumberFormat="1" applyFont="1" applyFill="1" applyBorder="1" applyAlignment="1">
      <alignment vertical="center"/>
    </xf>
    <xf numFmtId="164" fontId="50" fillId="0" borderId="10" xfId="0" applyFont="1" applyBorder="1" applyAlignment="1">
      <alignment vertical="center"/>
    </xf>
    <xf numFmtId="164" fontId="54" fillId="0" borderId="10" xfId="0" applyFont="1" applyBorder="1" applyAlignment="1">
      <alignment vertical="center"/>
    </xf>
    <xf numFmtId="164" fontId="54" fillId="2" borderId="10" xfId="0" applyFont="1" applyFill="1" applyBorder="1" applyAlignment="1">
      <alignment horizontal="center" vertical="center"/>
    </xf>
    <xf numFmtId="164" fontId="54" fillId="2" borderId="10" xfId="0" applyFont="1" applyFill="1" applyBorder="1" applyAlignment="1">
      <alignment horizontal="left" vertical="center" wrapText="1"/>
    </xf>
    <xf numFmtId="165" fontId="54" fillId="2" borderId="10" xfId="0" applyNumberFormat="1" applyFont="1" applyFill="1" applyBorder="1" applyAlignment="1">
      <alignment horizontal="right" vertical="center"/>
    </xf>
    <xf numFmtId="164" fontId="50" fillId="2" borderId="10" xfId="0" applyFont="1" applyFill="1" applyBorder="1" applyAlignment="1">
      <alignment horizontal="center" vertical="center"/>
    </xf>
    <xf numFmtId="164" fontId="50" fillId="2" borderId="10" xfId="0" applyFont="1" applyFill="1" applyBorder="1" applyAlignment="1">
      <alignment horizontal="left" vertical="center" wrapText="1"/>
    </xf>
    <xf numFmtId="165" fontId="50" fillId="2" borderId="10" xfId="0" applyNumberFormat="1" applyFont="1" applyFill="1" applyBorder="1" applyAlignment="1">
      <alignment horizontal="right" vertical="center"/>
    </xf>
    <xf numFmtId="164" fontId="51" fillId="0" borderId="0" xfId="0" applyFont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164" fontId="53" fillId="0" borderId="0" xfId="0" applyFont="1" applyAlignment="1">
      <alignment vertical="center"/>
    </xf>
    <xf numFmtId="165" fontId="50" fillId="2" borderId="10" xfId="0" applyNumberFormat="1" applyFont="1" applyFill="1" applyBorder="1" applyAlignment="1">
      <alignment vertical="top"/>
    </xf>
    <xf numFmtId="165" fontId="50" fillId="0" borderId="10" xfId="0" applyNumberFormat="1" applyFont="1" applyBorder="1" applyAlignment="1">
      <alignment/>
    </xf>
    <xf numFmtId="164" fontId="50" fillId="0" borderId="0" xfId="0" applyFont="1" applyAlignment="1">
      <alignment vertical="center"/>
    </xf>
    <xf numFmtId="164" fontId="54" fillId="19" borderId="10" xfId="0" applyFont="1" applyFill="1" applyBorder="1" applyAlignment="1">
      <alignment horizontal="center" vertical="top"/>
    </xf>
    <xf numFmtId="164" fontId="54" fillId="19" borderId="10" xfId="0" applyFont="1" applyFill="1" applyBorder="1" applyAlignment="1">
      <alignment horizontal="center" vertical="top" wrapText="1"/>
    </xf>
    <xf numFmtId="165" fontId="54" fillId="19" borderId="10" xfId="0" applyNumberFormat="1" applyFont="1" applyFill="1" applyBorder="1" applyAlignment="1">
      <alignment horizontal="right" vertical="top"/>
    </xf>
    <xf numFmtId="164" fontId="50" fillId="0" borderId="10" xfId="0" applyFont="1" applyBorder="1" applyAlignment="1">
      <alignment horizontal="center" vertical="top"/>
    </xf>
    <xf numFmtId="164" fontId="54" fillId="0" borderId="10" xfId="0" applyFont="1" applyBorder="1" applyAlignment="1">
      <alignment horizontal="center" vertical="top"/>
    </xf>
    <xf numFmtId="164" fontId="54" fillId="0" borderId="10" xfId="0" applyFont="1" applyBorder="1" applyAlignment="1">
      <alignment horizontal="justify" vertical="top" wrapText="1"/>
    </xf>
    <xf numFmtId="165" fontId="54" fillId="0" borderId="10" xfId="0" applyNumberFormat="1" applyFont="1" applyBorder="1" applyAlignment="1">
      <alignment horizontal="right" vertical="top"/>
    </xf>
    <xf numFmtId="164" fontId="50" fillId="0" borderId="10" xfId="0" applyFont="1" applyBorder="1" applyAlignment="1">
      <alignment horizontal="justify" vertical="top" wrapText="1"/>
    </xf>
    <xf numFmtId="165" fontId="50" fillId="0" borderId="10" xfId="0" applyNumberFormat="1" applyFont="1" applyBorder="1" applyAlignment="1">
      <alignment horizontal="right" vertical="top"/>
    </xf>
    <xf numFmtId="165" fontId="50" fillId="2" borderId="10" xfId="0" applyNumberFormat="1" applyFont="1" applyFill="1" applyBorder="1" applyAlignment="1">
      <alignment vertical="top"/>
    </xf>
    <xf numFmtId="165" fontId="54" fillId="0" borderId="10" xfId="0" applyNumberFormat="1" applyFont="1" applyFill="1" applyBorder="1" applyAlignment="1">
      <alignment horizontal="right" vertical="center"/>
    </xf>
    <xf numFmtId="165" fontId="50" fillId="2" borderId="10" xfId="0" applyNumberFormat="1" applyFont="1" applyFill="1" applyBorder="1" applyAlignment="1">
      <alignment vertical="center"/>
    </xf>
    <xf numFmtId="165" fontId="54" fillId="0" borderId="10" xfId="0" applyNumberFormat="1" applyFont="1" applyBorder="1" applyAlignment="1">
      <alignment horizontal="right" vertical="center"/>
    </xf>
    <xf numFmtId="166" fontId="49" fillId="2" borderId="0" xfId="0" applyNumberFormat="1" applyFont="1" applyFill="1" applyBorder="1" applyAlignment="1">
      <alignment horizontal="center" vertical="center" wrapText="1"/>
    </xf>
    <xf numFmtId="166" fontId="51" fillId="6" borderId="10" xfId="0" applyNumberFormat="1" applyFont="1" applyFill="1" applyBorder="1" applyAlignment="1">
      <alignment horizontal="center" vertical="center" wrapText="1"/>
    </xf>
    <xf numFmtId="164" fontId="51" fillId="0" borderId="0" xfId="0" applyFont="1" applyAlignment="1">
      <alignment vertical="center"/>
    </xf>
    <xf numFmtId="166" fontId="52" fillId="6" borderId="10" xfId="0" applyNumberFormat="1" applyFont="1" applyFill="1" applyBorder="1" applyAlignment="1">
      <alignment horizontal="center" vertical="center" wrapText="1"/>
    </xf>
    <xf numFmtId="164" fontId="52" fillId="6" borderId="10" xfId="0" applyFont="1" applyFill="1" applyBorder="1" applyAlignment="1">
      <alignment horizontal="center" vertical="center" wrapText="1"/>
    </xf>
    <xf numFmtId="164" fontId="73" fillId="2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vertical="center" wrapText="1"/>
    </xf>
    <xf numFmtId="165" fontId="45" fillId="2" borderId="10" xfId="0" applyNumberFormat="1" applyFont="1" applyFill="1" applyBorder="1" applyAlignment="1">
      <alignment vertical="center" wrapText="1"/>
    </xf>
    <xf numFmtId="164" fontId="54" fillId="2" borderId="10" xfId="0" applyFont="1" applyFill="1" applyBorder="1" applyAlignment="1">
      <alignment horizontal="center" vertical="top"/>
    </xf>
    <xf numFmtId="164" fontId="54" fillId="0" borderId="10" xfId="0" applyFont="1" applyBorder="1" applyAlignment="1">
      <alignment horizontal="center" vertical="top" wrapText="1"/>
    </xf>
    <xf numFmtId="164" fontId="50" fillId="0" borderId="10" xfId="0" applyFont="1" applyBorder="1" applyAlignment="1">
      <alignment horizontal="center" vertical="top" wrapText="1"/>
    </xf>
    <xf numFmtId="165" fontId="54" fillId="0" borderId="10" xfId="0" applyNumberFormat="1" applyFont="1" applyBorder="1" applyAlignment="1">
      <alignment vertical="top" wrapText="1"/>
    </xf>
    <xf numFmtId="164" fontId="50" fillId="2" borderId="10" xfId="0" applyFont="1" applyFill="1" applyBorder="1" applyAlignment="1">
      <alignment horizontal="center" vertical="top"/>
    </xf>
    <xf numFmtId="164" fontId="50" fillId="0" borderId="10" xfId="0" applyFont="1" applyBorder="1" applyAlignment="1">
      <alignment horizontal="center" vertical="top"/>
    </xf>
    <xf numFmtId="164" fontId="50" fillId="2" borderId="10" xfId="0" applyFont="1" applyFill="1" applyBorder="1" applyAlignment="1">
      <alignment horizontal="left" vertical="top" wrapText="1"/>
    </xf>
    <xf numFmtId="165" fontId="54" fillId="5" borderId="1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>
      <alignment horizontal="right" vertical="center"/>
    </xf>
    <xf numFmtId="166" fontId="50" fillId="0" borderId="0" xfId="0" applyNumberFormat="1" applyFont="1" applyAlignment="1">
      <alignment vertical="top"/>
    </xf>
    <xf numFmtId="164" fontId="50" fillId="0" borderId="0" xfId="0" applyFont="1" applyAlignment="1">
      <alignment vertical="top"/>
    </xf>
    <xf numFmtId="164" fontId="50" fillId="0" borderId="0" xfId="0" applyFont="1" applyAlignment="1">
      <alignment vertical="top" wrapText="1"/>
    </xf>
    <xf numFmtId="166" fontId="49" fillId="0" borderId="0" xfId="0" applyNumberFormat="1" applyFont="1" applyBorder="1" applyAlignment="1">
      <alignment horizontal="center" vertical="top" wrapText="1"/>
    </xf>
    <xf numFmtId="166" fontId="41" fillId="6" borderId="10" xfId="0" applyNumberFormat="1" applyFont="1" applyFill="1" applyBorder="1" applyAlignment="1">
      <alignment horizontal="center" vertical="center" wrapText="1"/>
    </xf>
    <xf numFmtId="164" fontId="41" fillId="6" borderId="10" xfId="0" applyFont="1" applyFill="1" applyBorder="1" applyAlignment="1">
      <alignment horizontal="center" vertical="center" wrapText="1"/>
    </xf>
    <xf numFmtId="164" fontId="42" fillId="6" borderId="12" xfId="0" applyFont="1" applyFill="1" applyBorder="1" applyAlignment="1">
      <alignment horizontal="center" vertical="center"/>
    </xf>
    <xf numFmtId="164" fontId="41" fillId="6" borderId="13" xfId="0" applyFont="1" applyFill="1" applyBorder="1" applyAlignment="1">
      <alignment horizontal="center" vertical="center"/>
    </xf>
    <xf numFmtId="166" fontId="52" fillId="6" borderId="10" xfId="0" applyNumberFormat="1" applyFont="1" applyFill="1" applyBorder="1" applyAlignment="1">
      <alignment horizontal="center" vertical="top" wrapText="1"/>
    </xf>
    <xf numFmtId="164" fontId="52" fillId="6" borderId="10" xfId="0" applyFont="1" applyFill="1" applyBorder="1" applyAlignment="1">
      <alignment horizontal="center" vertical="top" wrapText="1"/>
    </xf>
    <xf numFmtId="164" fontId="52" fillId="6" borderId="10" xfId="0" applyFont="1" applyFill="1" applyBorder="1" applyAlignment="1">
      <alignment horizontal="center" vertical="top"/>
    </xf>
    <xf numFmtId="164" fontId="50" fillId="0" borderId="0" xfId="0" applyFont="1" applyAlignment="1">
      <alignment horizontal="center" vertical="top"/>
    </xf>
    <xf numFmtId="166" fontId="54" fillId="0" borderId="10" xfId="0" applyNumberFormat="1" applyFont="1" applyBorder="1" applyAlignment="1">
      <alignment horizontal="center" vertical="top"/>
    </xf>
    <xf numFmtId="164" fontId="54" fillId="0" borderId="10" xfId="0" applyFont="1" applyBorder="1" applyAlignment="1">
      <alignment horizontal="left" vertical="top" wrapText="1"/>
    </xf>
    <xf numFmtId="165" fontId="54" fillId="0" borderId="10" xfId="0" applyNumberFormat="1" applyFont="1" applyBorder="1" applyAlignment="1">
      <alignment vertical="top"/>
    </xf>
    <xf numFmtId="165" fontId="50" fillId="0" borderId="10" xfId="0" applyNumberFormat="1" applyFont="1" applyBorder="1" applyAlignment="1">
      <alignment vertical="top"/>
    </xf>
    <xf numFmtId="165" fontId="50" fillId="0" borderId="10" xfId="0" applyNumberFormat="1" applyFont="1" applyBorder="1" applyAlignment="1">
      <alignment horizontal="right" vertical="top"/>
    </xf>
    <xf numFmtId="165" fontId="54" fillId="0" borderId="10" xfId="0" applyNumberFormat="1" applyFont="1" applyBorder="1" applyAlignment="1">
      <alignment horizontal="right" vertical="top"/>
    </xf>
    <xf numFmtId="166" fontId="54" fillId="6" borderId="10" xfId="0" applyNumberFormat="1" applyFont="1" applyFill="1" applyBorder="1" applyAlignment="1">
      <alignment horizontal="right" vertical="top"/>
    </xf>
    <xf numFmtId="165" fontId="54" fillId="5" borderId="10" xfId="0" applyNumberFormat="1" applyFont="1" applyFill="1" applyBorder="1" applyAlignment="1">
      <alignment horizontal="right" vertical="top" wrapText="1"/>
    </xf>
    <xf numFmtId="170" fontId="50" fillId="0" borderId="0" xfId="0" applyNumberFormat="1" applyFont="1" applyAlignment="1">
      <alignment horizontal="right" vertical="top"/>
    </xf>
    <xf numFmtId="165" fontId="50" fillId="0" borderId="10" xfId="0" applyNumberFormat="1" applyFont="1" applyBorder="1" applyAlignment="1">
      <alignment horizontal="right" vertical="top" wrapText="1"/>
    </xf>
    <xf numFmtId="165" fontId="54" fillId="0" borderId="10" xfId="0" applyNumberFormat="1" applyFont="1" applyBorder="1" applyAlignment="1">
      <alignment horizontal="right" vertical="top" wrapText="1"/>
    </xf>
    <xf numFmtId="164" fontId="50" fillId="0" borderId="0" xfId="0" applyFont="1" applyAlignment="1">
      <alignment horizontal="right" vertical="top"/>
    </xf>
    <xf numFmtId="164" fontId="41" fillId="6" borderId="10" xfId="0" applyFont="1" applyFill="1" applyBorder="1" applyAlignment="1">
      <alignment vertical="center" wrapText="1"/>
    </xf>
    <xf numFmtId="164" fontId="41" fillId="6" borderId="10" xfId="0" applyFont="1" applyFill="1" applyBorder="1" applyAlignment="1">
      <alignment horizontal="center" vertical="center"/>
    </xf>
    <xf numFmtId="164" fontId="52" fillId="6" borderId="10" xfId="0" applyFont="1" applyFill="1" applyBorder="1" applyAlignment="1">
      <alignment vertical="top" wrapText="1"/>
    </xf>
    <xf numFmtId="164" fontId="50" fillId="6" borderId="10" xfId="0" applyFont="1" applyFill="1" applyBorder="1" applyAlignment="1">
      <alignment horizontal="center" vertical="top"/>
    </xf>
    <xf numFmtId="166" fontId="54" fillId="0" borderId="10" xfId="0" applyNumberFormat="1" applyFont="1" applyBorder="1" applyAlignment="1">
      <alignment vertical="top"/>
    </xf>
    <xf numFmtId="166" fontId="50" fillId="0" borderId="10" xfId="0" applyNumberFormat="1" applyFont="1" applyBorder="1" applyAlignment="1">
      <alignment vertical="top"/>
    </xf>
    <xf numFmtId="166" fontId="52" fillId="2" borderId="0" xfId="0" applyNumberFormat="1" applyFont="1" applyFill="1" applyAlignment="1">
      <alignment vertical="top"/>
    </xf>
    <xf numFmtId="164" fontId="52" fillId="2" borderId="0" xfId="0" applyFont="1" applyFill="1" applyAlignment="1">
      <alignment vertical="top"/>
    </xf>
    <xf numFmtId="164" fontId="52" fillId="2" borderId="0" xfId="0" applyFont="1" applyFill="1" applyAlignment="1">
      <alignment horizontal="left" vertical="top"/>
    </xf>
    <xf numFmtId="164" fontId="52" fillId="0" borderId="0" xfId="0" applyFont="1" applyAlignment="1">
      <alignment/>
    </xf>
    <xf numFmtId="166" fontId="49" fillId="2" borderId="0" xfId="0" applyNumberFormat="1" applyFont="1" applyFill="1" applyBorder="1" applyAlignment="1">
      <alignment horizontal="center" vertical="top" wrapText="1"/>
    </xf>
    <xf numFmtId="166" fontId="62" fillId="10" borderId="10" xfId="0" applyNumberFormat="1" applyFont="1" applyFill="1" applyBorder="1" applyAlignment="1">
      <alignment horizontal="center" vertical="center" wrapText="1"/>
    </xf>
    <xf numFmtId="166" fontId="62" fillId="10" borderId="10" xfId="0" applyNumberFormat="1" applyFont="1" applyFill="1" applyBorder="1" applyAlignment="1">
      <alignment horizontal="left" vertical="center" wrapText="1"/>
    </xf>
    <xf numFmtId="166" fontId="63" fillId="6" borderId="10" xfId="0" applyNumberFormat="1" applyFont="1" applyFill="1" applyBorder="1" applyAlignment="1">
      <alignment horizontal="center" vertical="top" wrapText="1"/>
    </xf>
    <xf numFmtId="164" fontId="63" fillId="0" borderId="0" xfId="0" applyFont="1" applyAlignment="1">
      <alignment/>
    </xf>
    <xf numFmtId="164" fontId="51" fillId="19" borderId="10" xfId="0" applyFont="1" applyFill="1" applyBorder="1" applyAlignment="1">
      <alignment horizontal="center" vertical="center" wrapText="1"/>
    </xf>
    <xf numFmtId="165" fontId="51" fillId="19" borderId="10" xfId="0" applyNumberFormat="1" applyFont="1" applyFill="1" applyBorder="1" applyAlignment="1">
      <alignment horizontal="right" vertical="center" wrapText="1"/>
    </xf>
    <xf numFmtId="164" fontId="51" fillId="0" borderId="10" xfId="0" applyFont="1" applyBorder="1" applyAlignment="1">
      <alignment horizontal="center" vertical="center" wrapText="1"/>
    </xf>
    <xf numFmtId="164" fontId="51" fillId="0" borderId="10" xfId="0" applyFont="1" applyBorder="1" applyAlignment="1">
      <alignment vertical="center" wrapText="1"/>
    </xf>
    <xf numFmtId="165" fontId="51" fillId="0" borderId="10" xfId="0" applyNumberFormat="1" applyFont="1" applyBorder="1" applyAlignment="1">
      <alignment horizontal="right" vertical="center" wrapText="1"/>
    </xf>
    <xf numFmtId="164" fontId="74" fillId="2" borderId="10" xfId="0" applyNumberFormat="1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vertical="center" wrapText="1"/>
    </xf>
    <xf numFmtId="165" fontId="52" fillId="2" borderId="10" xfId="0" applyNumberFormat="1" applyFont="1" applyFill="1" applyBorder="1" applyAlignment="1">
      <alignment vertical="center"/>
    </xf>
    <xf numFmtId="164" fontId="52" fillId="0" borderId="10" xfId="0" applyFont="1" applyBorder="1" applyAlignment="1">
      <alignment horizontal="center" vertical="center" wrapText="1"/>
    </xf>
    <xf numFmtId="164" fontId="52" fillId="0" borderId="10" xfId="0" applyFont="1" applyBorder="1" applyAlignment="1">
      <alignment vertical="center" wrapText="1"/>
    </xf>
    <xf numFmtId="165" fontId="52" fillId="0" borderId="10" xfId="0" applyNumberFormat="1" applyFont="1" applyBorder="1" applyAlignment="1">
      <alignment horizontal="right" vertical="center" wrapText="1"/>
    </xf>
    <xf numFmtId="164" fontId="51" fillId="0" borderId="10" xfId="0" applyFont="1" applyFill="1" applyBorder="1" applyAlignment="1">
      <alignment horizontal="center" vertical="center" wrapText="1"/>
    </xf>
    <xf numFmtId="164" fontId="52" fillId="0" borderId="10" xfId="0" applyFont="1" applyFill="1" applyBorder="1" applyAlignment="1">
      <alignment horizontal="center" vertical="center" wrapText="1"/>
    </xf>
    <xf numFmtId="164" fontId="51" fillId="0" borderId="10" xfId="0" applyFont="1" applyFill="1" applyBorder="1" applyAlignment="1">
      <alignment horizontal="left" vertical="center" wrapText="1"/>
    </xf>
    <xf numFmtId="165" fontId="51" fillId="0" borderId="10" xfId="0" applyNumberFormat="1" applyFont="1" applyFill="1" applyBorder="1" applyAlignment="1">
      <alignment horizontal="right" vertical="center" wrapText="1"/>
    </xf>
    <xf numFmtId="171" fontId="52" fillId="2" borderId="0" xfId="0" applyNumberFormat="1" applyFont="1" applyFill="1" applyAlignment="1">
      <alignment vertical="top"/>
    </xf>
    <xf numFmtId="167" fontId="52" fillId="2" borderId="0" xfId="0" applyNumberFormat="1" applyFont="1" applyFill="1" applyAlignment="1">
      <alignment vertical="top"/>
    </xf>
    <xf numFmtId="170" fontId="52" fillId="2" borderId="0" xfId="0" applyNumberFormat="1" applyFont="1" applyFill="1" applyAlignment="1">
      <alignment vertical="top"/>
    </xf>
    <xf numFmtId="165" fontId="52" fillId="2" borderId="0" xfId="0" applyNumberFormat="1" applyFont="1" applyFill="1" applyAlignment="1">
      <alignment vertical="top"/>
    </xf>
    <xf numFmtId="165" fontId="52" fillId="2" borderId="10" xfId="0" applyNumberFormat="1" applyFont="1" applyFill="1" applyBorder="1" applyAlignment="1">
      <alignment vertical="center" wrapText="1"/>
    </xf>
    <xf numFmtId="164" fontId="76" fillId="0" borderId="10" xfId="0" applyFont="1" applyBorder="1" applyAlignment="1">
      <alignment horizontal="center" vertical="center" wrapText="1"/>
    </xf>
    <xf numFmtId="165" fontId="76" fillId="0" borderId="10" xfId="0" applyNumberFormat="1" applyFont="1" applyBorder="1" applyAlignment="1">
      <alignment horizontal="right" vertical="center" wrapText="1"/>
    </xf>
    <xf numFmtId="164" fontId="52" fillId="0" borderId="10" xfId="0" applyFont="1" applyFill="1" applyBorder="1" applyAlignment="1">
      <alignment vertical="center" wrapText="1"/>
    </xf>
    <xf numFmtId="164" fontId="52" fillId="0" borderId="10" xfId="0" applyFont="1" applyFill="1" applyBorder="1" applyAlignment="1">
      <alignment horizontal="left" vertical="center" wrapText="1"/>
    </xf>
    <xf numFmtId="165" fontId="52" fillId="0" borderId="10" xfId="0" applyNumberFormat="1" applyFont="1" applyFill="1" applyBorder="1" applyAlignment="1">
      <alignment horizontal="right" vertical="center" wrapText="1"/>
    </xf>
    <xf numFmtId="165" fontId="76" fillId="0" borderId="10" xfId="0" applyNumberFormat="1" applyFont="1" applyFill="1" applyBorder="1" applyAlignment="1">
      <alignment horizontal="right" vertical="center" wrapText="1"/>
    </xf>
    <xf numFmtId="164" fontId="76" fillId="0" borderId="10" xfId="0" applyFont="1" applyFill="1" applyBorder="1" applyAlignment="1">
      <alignment horizontal="center" vertical="center" wrapText="1"/>
    </xf>
    <xf numFmtId="164" fontId="75" fillId="0" borderId="10" xfId="0" applyFont="1" applyFill="1" applyBorder="1" applyAlignment="1">
      <alignment horizontal="center" vertical="center" wrapText="1"/>
    </xf>
    <xf numFmtId="164" fontId="52" fillId="0" borderId="10" xfId="0" applyFont="1" applyBorder="1" applyAlignment="1">
      <alignment horizontal="left" vertical="center" wrapText="1"/>
    </xf>
    <xf numFmtId="164" fontId="52" fillId="0" borderId="10" xfId="0" applyFont="1" applyBorder="1" applyAlignment="1">
      <alignment horizontal="center" vertical="center"/>
    </xf>
    <xf numFmtId="164" fontId="52" fillId="0" borderId="0" xfId="0" applyFont="1" applyAlignment="1">
      <alignment wrapText="1"/>
    </xf>
    <xf numFmtId="164" fontId="42" fillId="0" borderId="0" xfId="0" applyFont="1" applyAlignment="1">
      <alignment/>
    </xf>
    <xf numFmtId="166" fontId="56" fillId="2" borderId="0" xfId="0" applyNumberFormat="1" applyFont="1" applyFill="1" applyBorder="1" applyAlignment="1">
      <alignment horizontal="center" vertical="top" wrapText="1"/>
    </xf>
    <xf numFmtId="164" fontId="77" fillId="0" borderId="0" xfId="0" applyNumberFormat="1" applyFont="1" applyBorder="1" applyAlignment="1" applyProtection="1">
      <alignment/>
      <protection/>
    </xf>
    <xf numFmtId="164" fontId="78" fillId="0" borderId="0" xfId="0" applyNumberFormat="1" applyFont="1" applyBorder="1" applyAlignment="1" applyProtection="1">
      <alignment/>
      <protection/>
    </xf>
    <xf numFmtId="166" fontId="51" fillId="6" borderId="10" xfId="0" applyNumberFormat="1" applyFont="1" applyFill="1" applyBorder="1" applyAlignment="1">
      <alignment horizontal="center" vertical="top" wrapText="1"/>
    </xf>
    <xf numFmtId="164" fontId="45" fillId="0" borderId="0" xfId="0" applyNumberFormat="1" applyFont="1" applyBorder="1" applyAlignment="1" applyProtection="1">
      <alignment vertical="center"/>
      <protection/>
    </xf>
    <xf numFmtId="164" fontId="51" fillId="0" borderId="10" xfId="0" applyFont="1" applyBorder="1" applyAlignment="1">
      <alignment horizontal="center" vertical="center"/>
    </xf>
    <xf numFmtId="165" fontId="52" fillId="2" borderId="10" xfId="0" applyNumberFormat="1" applyFont="1" applyFill="1" applyBorder="1" applyAlignment="1">
      <alignment horizontal="right" vertical="center"/>
    </xf>
    <xf numFmtId="165" fontId="75" fillId="2" borderId="10" xfId="0" applyNumberFormat="1" applyFont="1" applyFill="1" applyBorder="1" applyAlignment="1">
      <alignment horizontal="right" vertical="center"/>
    </xf>
    <xf numFmtId="165" fontId="52" fillId="2" borderId="10" xfId="0" applyNumberFormat="1" applyFont="1" applyFill="1" applyBorder="1" applyAlignment="1">
      <alignment horizontal="right" vertical="center" wrapText="1"/>
    </xf>
    <xf numFmtId="165" fontId="75" fillId="2" borderId="10" xfId="0" applyNumberFormat="1" applyFont="1" applyFill="1" applyBorder="1" applyAlignment="1">
      <alignment vertical="center" wrapText="1"/>
    </xf>
    <xf numFmtId="164" fontId="51" fillId="0" borderId="10" xfId="0" applyFont="1" applyFill="1" applyBorder="1" applyAlignment="1">
      <alignment horizontal="center" vertical="center"/>
    </xf>
    <xf numFmtId="164" fontId="52" fillId="0" borderId="10" xfId="0" applyFont="1" applyFill="1" applyBorder="1" applyAlignment="1">
      <alignment horizontal="center" vertical="center"/>
    </xf>
    <xf numFmtId="165" fontId="74" fillId="2" borderId="10" xfId="0" applyNumberFormat="1" applyFont="1" applyFill="1" applyBorder="1" applyAlignment="1">
      <alignment horizontal="right" vertical="center"/>
    </xf>
    <xf numFmtId="164" fontId="51" fillId="2" borderId="0" xfId="0" applyFont="1" applyFill="1" applyAlignment="1">
      <alignment vertical="top"/>
    </xf>
    <xf numFmtId="164" fontId="51" fillId="2" borderId="0" xfId="0" applyFont="1" applyFill="1" applyAlignment="1">
      <alignment horizontal="center" vertical="center"/>
    </xf>
    <xf numFmtId="164" fontId="79" fillId="2" borderId="0" xfId="0" applyFont="1" applyFill="1" applyAlignment="1">
      <alignment horizontal="center" vertical="center"/>
    </xf>
    <xf numFmtId="164" fontId="52" fillId="2" borderId="0" xfId="0" applyFont="1" applyFill="1" applyAlignment="1">
      <alignment horizontal="center" vertical="top"/>
    </xf>
    <xf numFmtId="164" fontId="51" fillId="19" borderId="10" xfId="0" applyFont="1" applyFill="1" applyBorder="1" applyAlignment="1">
      <alignment horizontal="center" vertical="center"/>
    </xf>
    <xf numFmtId="164" fontId="51" fillId="19" borderId="10" xfId="0" applyFont="1" applyFill="1" applyBorder="1" applyAlignment="1">
      <alignment horizontal="center" vertical="center" wrapText="1"/>
    </xf>
    <xf numFmtId="165" fontId="51" fillId="19" borderId="10" xfId="0" applyNumberFormat="1" applyFont="1" applyFill="1" applyBorder="1" applyAlignment="1">
      <alignment horizontal="right" vertical="center"/>
    </xf>
    <xf numFmtId="164" fontId="51" fillId="0" borderId="10" xfId="0" applyFont="1" applyBorder="1" applyAlignment="1">
      <alignment horizontal="center" vertical="center"/>
    </xf>
    <xf numFmtId="164" fontId="51" fillId="0" borderId="10" xfId="0" applyFont="1" applyBorder="1" applyAlignment="1">
      <alignment vertical="center" wrapText="1"/>
    </xf>
    <xf numFmtId="165" fontId="51" fillId="0" borderId="10" xfId="0" applyNumberFormat="1" applyFont="1" applyBorder="1" applyAlignment="1">
      <alignment horizontal="right" vertical="center"/>
    </xf>
    <xf numFmtId="164" fontId="74" fillId="2" borderId="10" xfId="0" applyNumberFormat="1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vertical="center" wrapText="1"/>
    </xf>
    <xf numFmtId="165" fontId="52" fillId="2" borderId="10" xfId="0" applyNumberFormat="1" applyFont="1" applyFill="1" applyBorder="1" applyAlignment="1">
      <alignment vertical="center"/>
    </xf>
    <xf numFmtId="165" fontId="52" fillId="0" borderId="10" xfId="0" applyNumberFormat="1" applyFont="1" applyBorder="1" applyAlignment="1">
      <alignment horizontal="right" vertical="center"/>
    </xf>
    <xf numFmtId="165" fontId="52" fillId="0" borderId="10" xfId="0" applyNumberFormat="1" applyFont="1" applyBorder="1" applyAlignment="1">
      <alignment horizontal="right" vertical="center" wrapText="1"/>
    </xf>
    <xf numFmtId="164" fontId="51" fillId="0" borderId="10" xfId="0" applyFont="1" applyBorder="1" applyAlignment="1">
      <alignment horizontal="center" vertical="center" wrapText="1"/>
    </xf>
    <xf numFmtId="164" fontId="52" fillId="0" borderId="10" xfId="0" applyFont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right" vertical="center" wrapText="1"/>
    </xf>
    <xf numFmtId="164" fontId="51" fillId="0" borderId="10" xfId="0" applyFont="1" applyFill="1" applyBorder="1" applyAlignment="1">
      <alignment horizontal="center" vertical="center" wrapText="1"/>
    </xf>
    <xf numFmtId="164" fontId="52" fillId="0" borderId="10" xfId="0" applyFont="1" applyFill="1" applyBorder="1" applyAlignment="1">
      <alignment horizontal="center" vertical="center" wrapText="1"/>
    </xf>
    <xf numFmtId="164" fontId="51" fillId="0" borderId="10" xfId="0" applyFont="1" applyFill="1" applyBorder="1" applyAlignment="1">
      <alignment horizontal="left" vertical="center" wrapText="1"/>
    </xf>
    <xf numFmtId="165" fontId="51" fillId="0" borderId="10" xfId="0" applyNumberFormat="1" applyFont="1" applyFill="1" applyBorder="1" applyAlignment="1">
      <alignment horizontal="right" vertical="center" wrapText="1"/>
    </xf>
    <xf numFmtId="165" fontId="52" fillId="0" borderId="10" xfId="0" applyNumberFormat="1" applyFont="1" applyFill="1" applyBorder="1" applyAlignment="1">
      <alignment horizontal="right" vertical="center"/>
    </xf>
    <xf numFmtId="165" fontId="51" fillId="2" borderId="10" xfId="0" applyNumberFormat="1" applyFont="1" applyFill="1" applyBorder="1" applyAlignment="1">
      <alignment vertical="center" wrapText="1"/>
    </xf>
    <xf numFmtId="164" fontId="51" fillId="2" borderId="0" xfId="0" applyFont="1" applyFill="1" applyAlignment="1">
      <alignment horizontal="center" vertical="top"/>
    </xf>
    <xf numFmtId="164" fontId="51" fillId="0" borderId="0" xfId="0" applyFont="1" applyAlignment="1">
      <alignment/>
    </xf>
    <xf numFmtId="164" fontId="74" fillId="2" borderId="10" xfId="0" applyNumberFormat="1" applyFont="1" applyFill="1" applyBorder="1" applyAlignment="1">
      <alignment horizontal="center" vertical="center" wrapText="1"/>
    </xf>
    <xf numFmtId="164" fontId="75" fillId="0" borderId="10" xfId="0" applyNumberFormat="1" applyFont="1" applyFill="1" applyBorder="1" applyAlignment="1">
      <alignment horizontal="center" vertical="center" wrapText="1"/>
    </xf>
    <xf numFmtId="164" fontId="74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Border="1" applyAlignment="1">
      <alignment vertical="center" wrapText="1"/>
    </xf>
    <xf numFmtId="165" fontId="80" fillId="0" borderId="10" xfId="0" applyNumberFormat="1" applyFont="1" applyBorder="1" applyAlignment="1">
      <alignment horizontal="right" vertical="center" wrapText="1"/>
    </xf>
    <xf numFmtId="165" fontId="75" fillId="2" borderId="10" xfId="0" applyNumberFormat="1" applyFont="1" applyFill="1" applyBorder="1" applyAlignment="1">
      <alignment horizontal="right" vertical="center" wrapText="1"/>
    </xf>
    <xf numFmtId="165" fontId="52" fillId="0" borderId="10" xfId="0" applyNumberFormat="1" applyFont="1" applyFill="1" applyBorder="1" applyAlignment="1">
      <alignment vertical="center" wrapText="1"/>
    </xf>
    <xf numFmtId="165" fontId="80" fillId="0" borderId="10" xfId="0" applyNumberFormat="1" applyFont="1" applyFill="1" applyBorder="1" applyAlignment="1">
      <alignment horizontal="right" vertical="center" wrapText="1"/>
    </xf>
    <xf numFmtId="164" fontId="52" fillId="0" borderId="10" xfId="0" applyFont="1" applyBorder="1" applyAlignment="1">
      <alignment wrapText="1"/>
    </xf>
    <xf numFmtId="165" fontId="52" fillId="0" borderId="10" xfId="0" applyNumberFormat="1" applyFont="1" applyBorder="1" applyAlignment="1">
      <alignment wrapText="1"/>
    </xf>
    <xf numFmtId="165" fontId="51" fillId="19" borderId="10" xfId="0" applyNumberFormat="1" applyFont="1" applyFill="1" applyBorder="1" applyAlignment="1">
      <alignment horizontal="right" vertical="center" wrapText="1"/>
    </xf>
    <xf numFmtId="164" fontId="52" fillId="0" borderId="10" xfId="0" applyFont="1" applyBorder="1" applyAlignment="1">
      <alignment vertical="center" wrapText="1"/>
    </xf>
    <xf numFmtId="165" fontId="52" fillId="2" borderId="10" xfId="0" applyNumberFormat="1" applyFont="1" applyFill="1" applyBorder="1" applyAlignment="1">
      <alignment vertical="center" wrapText="1"/>
    </xf>
    <xf numFmtId="165" fontId="52" fillId="0" borderId="10" xfId="0" applyNumberFormat="1" applyFont="1" applyBorder="1" applyAlignment="1">
      <alignment vertical="center" wrapText="1"/>
    </xf>
    <xf numFmtId="165" fontId="52" fillId="0" borderId="0" xfId="0" applyNumberFormat="1" applyFont="1" applyAlignment="1">
      <alignment vertical="center" wrapText="1"/>
    </xf>
    <xf numFmtId="165" fontId="52" fillId="2" borderId="10" xfId="0" applyNumberFormat="1" applyFont="1" applyFill="1" applyBorder="1" applyAlignment="1">
      <alignment horizontal="right" vertical="center" wrapText="1"/>
    </xf>
    <xf numFmtId="164" fontId="52" fillId="0" borderId="10" xfId="0" applyFont="1" applyFill="1" applyBorder="1" applyAlignment="1">
      <alignment horizontal="left" vertical="center" wrapText="1"/>
    </xf>
    <xf numFmtId="165" fontId="52" fillId="0" borderId="10" xfId="0" applyNumberFormat="1" applyFont="1" applyFill="1" applyBorder="1" applyAlignment="1">
      <alignment horizontal="right" vertical="center" wrapText="1"/>
    </xf>
    <xf numFmtId="165" fontId="52" fillId="0" borderId="10" xfId="0" applyNumberFormat="1" applyFont="1" applyFill="1" applyBorder="1" applyAlignment="1">
      <alignment vertical="center" wrapText="1"/>
    </xf>
    <xf numFmtId="164" fontId="49" fillId="0" borderId="0" xfId="0" applyFont="1" applyBorder="1" applyAlignment="1">
      <alignment horizontal="center" wrapText="1"/>
    </xf>
    <xf numFmtId="166" fontId="42" fillId="0" borderId="0" xfId="0" applyNumberFormat="1" applyFont="1" applyAlignment="1">
      <alignment vertical="top"/>
    </xf>
    <xf numFmtId="164" fontId="42" fillId="0" borderId="0" xfId="0" applyFont="1" applyAlignment="1">
      <alignment vertical="top" wrapText="1"/>
    </xf>
    <xf numFmtId="165" fontId="42" fillId="0" borderId="0" xfId="0" applyNumberFormat="1" applyFont="1" applyAlignment="1">
      <alignment vertical="top"/>
    </xf>
    <xf numFmtId="164" fontId="42" fillId="0" borderId="0" xfId="0" applyFont="1" applyAlignment="1">
      <alignment vertical="top"/>
    </xf>
    <xf numFmtId="164" fontId="0" fillId="0" borderId="0" xfId="0" applyAlignment="1">
      <alignment vertical="top"/>
    </xf>
    <xf numFmtId="166" fontId="54" fillId="0" borderId="0" xfId="0" applyNumberFormat="1" applyFont="1" applyBorder="1" applyAlignment="1">
      <alignment horizontal="center" vertical="top"/>
    </xf>
    <xf numFmtId="166" fontId="81" fillId="0" borderId="0" xfId="0" applyNumberFormat="1" applyFont="1" applyBorder="1" applyAlignment="1">
      <alignment horizontal="center" vertical="top"/>
    </xf>
    <xf numFmtId="164" fontId="82" fillId="0" borderId="0" xfId="0" applyFont="1" applyAlignment="1">
      <alignment horizontal="right"/>
    </xf>
    <xf numFmtId="166" fontId="66" fillId="0" borderId="0" xfId="0" applyNumberFormat="1" applyFont="1" applyBorder="1" applyAlignment="1">
      <alignment horizontal="right" vertical="top"/>
    </xf>
    <xf numFmtId="166" fontId="51" fillId="6" borderId="10" xfId="0" applyNumberFormat="1" applyFont="1" applyFill="1" applyBorder="1" applyAlignment="1">
      <alignment horizontal="center" vertical="center"/>
    </xf>
    <xf numFmtId="165" fontId="51" fillId="6" borderId="10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6" fontId="54" fillId="19" borderId="10" xfId="0" applyNumberFormat="1" applyFont="1" applyFill="1" applyBorder="1" applyAlignment="1">
      <alignment horizontal="center" vertical="top"/>
    </xf>
    <xf numFmtId="170" fontId="54" fillId="19" borderId="10" xfId="0" applyNumberFormat="1" applyFont="1" applyFill="1" applyBorder="1" applyAlignment="1">
      <alignment horizontal="center" vertical="top" wrapText="1"/>
    </xf>
    <xf numFmtId="165" fontId="54" fillId="19" borderId="10" xfId="0" applyNumberFormat="1" applyFont="1" applyFill="1" applyBorder="1" applyAlignment="1">
      <alignment vertical="top" wrapText="1"/>
    </xf>
    <xf numFmtId="164" fontId="41" fillId="0" borderId="0" xfId="0" applyFont="1" applyAlignment="1">
      <alignment vertical="top"/>
    </xf>
    <xf numFmtId="166" fontId="50" fillId="0" borderId="10" xfId="0" applyNumberFormat="1" applyFont="1" applyFill="1" applyBorder="1" applyAlignment="1">
      <alignment horizontal="center" vertical="top"/>
    </xf>
    <xf numFmtId="168" fontId="54" fillId="0" borderId="10" xfId="0" applyNumberFormat="1" applyFont="1" applyFill="1" applyBorder="1" applyAlignment="1">
      <alignment horizontal="center" vertical="top" wrapText="1"/>
    </xf>
    <xf numFmtId="170" fontId="50" fillId="0" borderId="10" xfId="0" applyNumberFormat="1" applyFont="1" applyFill="1" applyBorder="1" applyAlignment="1">
      <alignment horizontal="center" vertical="top" wrapText="1"/>
    </xf>
    <xf numFmtId="164" fontId="54" fillId="0" borderId="11" xfId="0" applyFont="1" applyBorder="1" applyAlignment="1">
      <alignment vertical="top" wrapText="1"/>
    </xf>
    <xf numFmtId="165" fontId="54" fillId="0" borderId="10" xfId="0" applyNumberFormat="1" applyFont="1" applyFill="1" applyBorder="1" applyAlignment="1">
      <alignment vertical="top" wrapText="1"/>
    </xf>
    <xf numFmtId="168" fontId="50" fillId="0" borderId="10" xfId="0" applyNumberFormat="1" applyFont="1" applyFill="1" applyBorder="1" applyAlignment="1">
      <alignment horizontal="center" vertical="top" wrapText="1"/>
    </xf>
    <xf numFmtId="164" fontId="50" fillId="0" borderId="11" xfId="0" applyFont="1" applyBorder="1" applyAlignment="1">
      <alignment vertical="top" wrapText="1"/>
    </xf>
    <xf numFmtId="165" fontId="54" fillId="5" borderId="10" xfId="0" applyNumberFormat="1" applyFont="1" applyFill="1" applyBorder="1" applyAlignment="1">
      <alignment horizontal="right" vertical="top"/>
    </xf>
    <xf numFmtId="164" fontId="39" fillId="0" borderId="0" xfId="0" applyFont="1" applyAlignment="1">
      <alignment horizontal="right" vertical="top"/>
    </xf>
    <xf numFmtId="164" fontId="83" fillId="0" borderId="0" xfId="0" applyFont="1" applyAlignment="1">
      <alignment vertical="top"/>
    </xf>
    <xf numFmtId="166" fontId="54" fillId="0" borderId="0" xfId="0" applyNumberFormat="1" applyFont="1" applyBorder="1" applyAlignment="1">
      <alignment horizontal="center" vertical="top" wrapText="1"/>
    </xf>
    <xf numFmtId="166" fontId="54" fillId="19" borderId="10" xfId="0" applyNumberFormat="1" applyFont="1" applyFill="1" applyBorder="1" applyAlignment="1">
      <alignment horizontal="center" vertical="center" wrapText="1"/>
    </xf>
    <xf numFmtId="165" fontId="54" fillId="19" borderId="10" xfId="0" applyNumberFormat="1" applyFont="1" applyFill="1" applyBorder="1" applyAlignment="1">
      <alignment horizontal="center" vertical="center" wrapText="1"/>
    </xf>
    <xf numFmtId="164" fontId="54" fillId="0" borderId="0" xfId="0" applyFont="1" applyAlignment="1">
      <alignment horizontal="center" vertical="top"/>
    </xf>
    <xf numFmtId="166" fontId="50" fillId="0" borderId="10" xfId="0" applyNumberFormat="1" applyFont="1" applyFill="1" applyBorder="1" applyAlignment="1">
      <alignment horizontal="center" vertical="center" wrapText="1"/>
    </xf>
    <xf numFmtId="164" fontId="54" fillId="0" borderId="10" xfId="0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horizontal="justify" vertical="center" wrapText="1"/>
    </xf>
    <xf numFmtId="165" fontId="54" fillId="0" borderId="10" xfId="0" applyNumberFormat="1" applyFont="1" applyFill="1" applyBorder="1" applyAlignment="1">
      <alignment horizontal="right" vertical="center" wrapText="1"/>
    </xf>
    <xf numFmtId="164" fontId="50" fillId="0" borderId="10" xfId="0" applyFont="1" applyFill="1" applyBorder="1" applyAlignment="1">
      <alignment horizontal="center" vertical="center" wrapText="1"/>
    </xf>
    <xf numFmtId="165" fontId="50" fillId="0" borderId="10" xfId="0" applyNumberFormat="1" applyFont="1" applyFill="1" applyBorder="1" applyAlignment="1">
      <alignment horizontal="justify" vertical="center" wrapText="1"/>
    </xf>
    <xf numFmtId="165" fontId="50" fillId="0" borderId="10" xfId="0" applyNumberFormat="1" applyFont="1" applyFill="1" applyBorder="1" applyAlignment="1">
      <alignment horizontal="right" vertical="center" wrapText="1"/>
    </xf>
    <xf numFmtId="165" fontId="50" fillId="0" borderId="0" xfId="0" applyNumberFormat="1" applyFont="1" applyAlignment="1">
      <alignment vertical="top"/>
    </xf>
    <xf numFmtId="164" fontId="49" fillId="0" borderId="0" xfId="0" applyFont="1" applyBorder="1" applyAlignment="1">
      <alignment horizontal="center" vertical="top" wrapText="1"/>
    </xf>
    <xf numFmtId="164" fontId="84" fillId="6" borderId="10" xfId="103" applyFont="1" applyFill="1" applyBorder="1" applyAlignment="1">
      <alignment horizontal="center" vertical="center" wrapText="1"/>
      <protection/>
    </xf>
    <xf numFmtId="165" fontId="54" fillId="19" borderId="10" xfId="0" applyNumberFormat="1" applyFont="1" applyFill="1" applyBorder="1" applyAlignment="1">
      <alignment horizontal="right" vertical="top"/>
    </xf>
    <xf numFmtId="165" fontId="54" fillId="2" borderId="10" xfId="0" applyNumberFormat="1" applyFont="1" applyFill="1" applyBorder="1" applyAlignment="1">
      <alignment horizontal="right" vertical="top"/>
    </xf>
    <xf numFmtId="164" fontId="54" fillId="2" borderId="10" xfId="0" applyFont="1" applyFill="1" applyBorder="1" applyAlignment="1">
      <alignment horizontal="justify" vertical="top" wrapText="1"/>
    </xf>
    <xf numFmtId="164" fontId="50" fillId="2" borderId="10" xfId="0" applyFont="1" applyFill="1" applyBorder="1" applyAlignment="1">
      <alignment horizontal="justify" vertical="top" wrapText="1"/>
    </xf>
    <xf numFmtId="164" fontId="50" fillId="0" borderId="10" xfId="0" applyFont="1" applyBorder="1" applyAlignment="1">
      <alignment vertical="top" wrapText="1"/>
    </xf>
    <xf numFmtId="165" fontId="50" fillId="0" borderId="10" xfId="0" applyNumberFormat="1" applyFont="1" applyBorder="1" applyAlignment="1">
      <alignment vertical="top" wrapText="1"/>
    </xf>
    <xf numFmtId="166" fontId="41" fillId="6" borderId="10" xfId="0" applyNumberFormat="1" applyFont="1" applyFill="1" applyBorder="1" applyAlignment="1">
      <alignment horizontal="center" vertical="center"/>
    </xf>
    <xf numFmtId="165" fontId="41" fillId="6" borderId="10" xfId="0" applyNumberFormat="1" applyFont="1" applyFill="1" applyBorder="1" applyAlignment="1">
      <alignment horizontal="center" vertical="center"/>
    </xf>
    <xf numFmtId="165" fontId="41" fillId="6" borderId="10" xfId="0" applyNumberFormat="1" applyFont="1" applyFill="1" applyBorder="1" applyAlignment="1">
      <alignment horizontal="center" vertical="top"/>
    </xf>
    <xf numFmtId="165" fontId="54" fillId="19" borderId="10" xfId="0" applyNumberFormat="1" applyFont="1" applyFill="1" applyBorder="1" applyAlignment="1">
      <alignment horizontal="center" vertical="top"/>
    </xf>
    <xf numFmtId="164" fontId="54" fillId="0" borderId="10" xfId="0" applyFont="1" applyFill="1" applyBorder="1" applyAlignment="1">
      <alignment horizontal="center" vertical="top" wrapText="1"/>
    </xf>
    <xf numFmtId="164" fontId="50" fillId="0" borderId="10" xfId="0" applyFont="1" applyFill="1" applyBorder="1" applyAlignment="1">
      <alignment horizontal="center" vertical="top" wrapText="1"/>
    </xf>
    <xf numFmtId="165" fontId="54" fillId="0" borderId="10" xfId="0" applyNumberFormat="1" applyFont="1" applyFill="1" applyBorder="1" applyAlignment="1">
      <alignment horizontal="justify" vertical="top"/>
    </xf>
    <xf numFmtId="165" fontId="54" fillId="0" borderId="10" xfId="0" applyNumberFormat="1" applyFont="1" applyFill="1" applyBorder="1" applyAlignment="1">
      <alignment horizontal="right" vertical="top"/>
    </xf>
    <xf numFmtId="165" fontId="50" fillId="0" borderId="10" xfId="0" applyNumberFormat="1" applyFont="1" applyFill="1" applyBorder="1" applyAlignment="1">
      <alignment horizontal="right" vertical="top"/>
    </xf>
    <xf numFmtId="165" fontId="50" fillId="2" borderId="10" xfId="0" applyNumberFormat="1" applyFont="1" applyFill="1" applyBorder="1" applyAlignment="1">
      <alignment horizontal="right" vertical="top"/>
    </xf>
    <xf numFmtId="165" fontId="54" fillId="0" borderId="10" xfId="0" applyNumberFormat="1" applyFont="1" applyBorder="1" applyAlignment="1">
      <alignment horizontal="justify" vertical="top" wrapText="1"/>
    </xf>
    <xf numFmtId="165" fontId="50" fillId="0" borderId="10" xfId="0" applyNumberFormat="1" applyFont="1" applyBorder="1" applyAlignment="1">
      <alignment horizontal="justify" vertical="top" wrapText="1"/>
    </xf>
    <xf numFmtId="165" fontId="54" fillId="19" borderId="10" xfId="0" applyNumberFormat="1" applyFont="1" applyFill="1" applyBorder="1" applyAlignment="1">
      <alignment horizontal="right" vertical="top" wrapText="1"/>
    </xf>
    <xf numFmtId="165" fontId="54" fillId="0" borderId="0" xfId="0" applyNumberFormat="1" applyFont="1" applyBorder="1" applyAlignment="1">
      <alignment horizontal="right" vertical="center" wrapText="1"/>
    </xf>
    <xf numFmtId="165" fontId="50" fillId="0" borderId="0" xfId="0" applyNumberFormat="1" applyFont="1" applyBorder="1" applyAlignment="1">
      <alignment horizontal="right" vertical="center" wrapText="1"/>
    </xf>
    <xf numFmtId="164" fontId="54" fillId="0" borderId="10" xfId="0" applyFont="1" applyBorder="1" applyAlignment="1">
      <alignment horizontal="justify"/>
    </xf>
    <xf numFmtId="164" fontId="54" fillId="0" borderId="0" xfId="0" applyFont="1" applyAlignment="1">
      <alignment vertical="top"/>
    </xf>
    <xf numFmtId="164" fontId="54" fillId="0" borderId="0" xfId="0" applyFont="1" applyAlignment="1">
      <alignment horizontal="right" vertical="top"/>
    </xf>
    <xf numFmtId="164" fontId="50" fillId="0" borderId="0" xfId="103" applyFont="1" applyAlignment="1">
      <alignment vertical="center"/>
      <protection/>
    </xf>
    <xf numFmtId="164" fontId="49" fillId="0" borderId="0" xfId="103" applyFont="1" applyBorder="1" applyAlignment="1">
      <alignment horizontal="center" vertical="center" wrapText="1"/>
      <protection/>
    </xf>
    <xf numFmtId="164" fontId="50" fillId="0" borderId="0" xfId="103" applyFont="1" applyAlignment="1">
      <alignment vertical="top"/>
      <protection/>
    </xf>
    <xf numFmtId="164" fontId="54" fillId="6" borderId="10" xfId="103" applyFont="1" applyFill="1" applyBorder="1" applyAlignment="1">
      <alignment horizontal="center" vertical="center"/>
      <protection/>
    </xf>
    <xf numFmtId="164" fontId="54" fillId="6" borderId="10" xfId="103" applyFont="1" applyFill="1" applyBorder="1" applyAlignment="1">
      <alignment horizontal="center" vertical="center" wrapText="1"/>
      <protection/>
    </xf>
    <xf numFmtId="164" fontId="50" fillId="0" borderId="10" xfId="103" applyFont="1" applyBorder="1" applyAlignment="1">
      <alignment horizontal="center" vertical="center"/>
      <protection/>
    </xf>
    <xf numFmtId="164" fontId="54" fillId="0" borderId="10" xfId="103" applyFont="1" applyBorder="1" applyAlignment="1">
      <alignment horizontal="center" vertical="top" wrapText="1"/>
      <protection/>
    </xf>
    <xf numFmtId="164" fontId="50" fillId="0" borderId="10" xfId="103" applyFont="1" applyBorder="1" applyAlignment="1">
      <alignment horizontal="center" vertical="top" wrapText="1"/>
      <protection/>
    </xf>
    <xf numFmtId="165" fontId="54" fillId="0" borderId="10" xfId="103" applyNumberFormat="1" applyFont="1" applyBorder="1" applyAlignment="1">
      <alignment vertical="top" wrapText="1"/>
      <protection/>
    </xf>
    <xf numFmtId="164" fontId="50" fillId="0" borderId="10" xfId="103" applyFont="1" applyBorder="1" applyAlignment="1">
      <alignment vertical="top" wrapText="1"/>
      <protection/>
    </xf>
    <xf numFmtId="165" fontId="50" fillId="0" borderId="10" xfId="103" applyNumberFormat="1" applyFont="1" applyBorder="1" applyAlignment="1">
      <alignment vertical="top" wrapText="1"/>
      <protection/>
    </xf>
    <xf numFmtId="164" fontId="50" fillId="0" borderId="10" xfId="0" applyFont="1" applyBorder="1" applyAlignment="1">
      <alignment vertical="top" wrapText="1"/>
    </xf>
    <xf numFmtId="164" fontId="86" fillId="0" borderId="0" xfId="103" applyFont="1" applyAlignment="1">
      <alignment vertical="center"/>
      <protection/>
    </xf>
    <xf numFmtId="164" fontId="45" fillId="2" borderId="10" xfId="103" applyFont="1" applyFill="1" applyBorder="1" applyAlignment="1">
      <alignment vertical="top" wrapText="1"/>
      <protection/>
    </xf>
    <xf numFmtId="164" fontId="45" fillId="2" borderId="10" xfId="103" applyFont="1" applyFill="1" applyBorder="1" applyAlignment="1">
      <alignment horizontal="center" vertical="top" wrapText="1"/>
      <protection/>
    </xf>
    <xf numFmtId="165" fontId="50" fillId="0" borderId="10" xfId="0" applyNumberFormat="1" applyFont="1" applyBorder="1" applyAlignment="1">
      <alignment vertical="top" wrapText="1"/>
    </xf>
    <xf numFmtId="164" fontId="50" fillId="0" borderId="0" xfId="103" applyFont="1" applyBorder="1" applyAlignment="1">
      <alignment horizontal="center" vertical="center"/>
      <protection/>
    </xf>
    <xf numFmtId="164" fontId="50" fillId="0" borderId="0" xfId="103" applyFont="1" applyBorder="1" applyAlignment="1">
      <alignment vertical="center"/>
      <protection/>
    </xf>
    <xf numFmtId="164" fontId="87" fillId="0" borderId="0" xfId="103" applyFont="1">
      <alignment/>
      <protection/>
    </xf>
    <xf numFmtId="164" fontId="87" fillId="0" borderId="0" xfId="103" applyFont="1" applyAlignment="1">
      <alignment vertical="center"/>
      <protection/>
    </xf>
    <xf numFmtId="164" fontId="50" fillId="0" borderId="0" xfId="103" applyFont="1">
      <alignment/>
      <protection/>
    </xf>
    <xf numFmtId="164" fontId="55" fillId="0" borderId="0" xfId="103" applyFont="1">
      <alignment/>
      <protection/>
    </xf>
    <xf numFmtId="164" fontId="53" fillId="0" borderId="10" xfId="103" applyFont="1" applyBorder="1" applyAlignment="1">
      <alignment horizontal="center" vertical="center" wrapText="1"/>
      <protection/>
    </xf>
    <xf numFmtId="164" fontId="53" fillId="0" borderId="10" xfId="0" applyFont="1" applyBorder="1" applyAlignment="1">
      <alignment horizontal="center" vertical="center" wrapText="1"/>
    </xf>
    <xf numFmtId="164" fontId="52" fillId="0" borderId="0" xfId="103" applyFont="1">
      <alignment/>
      <protection/>
    </xf>
    <xf numFmtId="164" fontId="61" fillId="0" borderId="10" xfId="103" applyFont="1" applyBorder="1" applyAlignment="1">
      <alignment horizontal="left" vertical="top" wrapText="1"/>
      <protection/>
    </xf>
    <xf numFmtId="165" fontId="61" fillId="0" borderId="10" xfId="103" applyNumberFormat="1" applyFont="1" applyBorder="1" applyAlignment="1">
      <alignment horizontal="right" vertical="top" wrapText="1"/>
      <protection/>
    </xf>
    <xf numFmtId="165" fontId="61" fillId="0" borderId="10" xfId="0" applyNumberFormat="1" applyFont="1" applyBorder="1" applyAlignment="1">
      <alignment horizontal="right" vertical="top" wrapText="1"/>
    </xf>
    <xf numFmtId="164" fontId="61" fillId="0" borderId="0" xfId="103" applyFont="1">
      <alignment/>
      <protection/>
    </xf>
    <xf numFmtId="164" fontId="54" fillId="2" borderId="10" xfId="0" applyFont="1" applyFill="1" applyBorder="1" applyAlignment="1">
      <alignment horizontal="center" vertical="top" wrapText="1"/>
    </xf>
    <xf numFmtId="164" fontId="54" fillId="2" borderId="10" xfId="0" applyFont="1" applyFill="1" applyBorder="1" applyAlignment="1">
      <alignment horizontal="left" vertical="top" wrapText="1"/>
    </xf>
    <xf numFmtId="165" fontId="54" fillId="2" borderId="10" xfId="103" applyNumberFormat="1" applyFont="1" applyFill="1" applyBorder="1" applyAlignment="1">
      <alignment vertical="top" wrapText="1"/>
      <protection/>
    </xf>
    <xf numFmtId="165" fontId="54" fillId="2" borderId="10" xfId="0" applyNumberFormat="1" applyFont="1" applyFill="1" applyBorder="1" applyAlignment="1">
      <alignment vertical="top" wrapText="1"/>
    </xf>
    <xf numFmtId="164" fontId="50" fillId="2" borderId="10" xfId="0" applyFont="1" applyFill="1" applyBorder="1" applyAlignment="1">
      <alignment horizontal="center" vertical="top" wrapText="1"/>
    </xf>
    <xf numFmtId="165" fontId="50" fillId="2" borderId="10" xfId="103" applyNumberFormat="1" applyFont="1" applyFill="1" applyBorder="1" applyAlignment="1">
      <alignment vertical="top" wrapText="1"/>
      <protection/>
    </xf>
    <xf numFmtId="165" fontId="50" fillId="2" borderId="10" xfId="0" applyNumberFormat="1" applyFont="1" applyFill="1" applyBorder="1" applyAlignment="1">
      <alignment horizontal="right" vertical="top" wrapText="1"/>
    </xf>
    <xf numFmtId="165" fontId="55" fillId="2" borderId="10" xfId="103" applyNumberFormat="1" applyFont="1" applyFill="1" applyBorder="1" applyAlignment="1">
      <alignment horizontal="center" vertical="top" wrapText="1"/>
      <protection/>
    </xf>
    <xf numFmtId="165" fontId="54" fillId="2" borderId="10" xfId="0" applyNumberFormat="1" applyFont="1" applyFill="1" applyBorder="1" applyAlignment="1">
      <alignment horizontal="left" vertical="top" wrapText="1"/>
    </xf>
    <xf numFmtId="165" fontId="54" fillId="2" borderId="10" xfId="0" applyNumberFormat="1" applyFont="1" applyFill="1" applyBorder="1" applyAlignment="1">
      <alignment horizontal="right" vertical="top" wrapText="1"/>
    </xf>
    <xf numFmtId="165" fontId="50" fillId="2" borderId="10" xfId="0" applyNumberFormat="1" applyFont="1" applyFill="1" applyBorder="1" applyAlignment="1">
      <alignment vertical="top" wrapText="1"/>
    </xf>
    <xf numFmtId="170" fontId="54" fillId="2" borderId="10" xfId="0" applyNumberFormat="1" applyFont="1" applyFill="1" applyBorder="1" applyAlignment="1">
      <alignment horizontal="center" vertical="top" wrapText="1"/>
    </xf>
    <xf numFmtId="165" fontId="50" fillId="2" borderId="10" xfId="103" applyNumberFormat="1" applyFont="1" applyFill="1" applyBorder="1" applyAlignment="1">
      <alignment horizontal="right" vertical="top" wrapText="1"/>
      <protection/>
    </xf>
    <xf numFmtId="165" fontId="61" fillId="2" borderId="10" xfId="103" applyNumberFormat="1" applyFont="1" applyFill="1" applyBorder="1" applyAlignment="1">
      <alignment vertical="top" wrapText="1"/>
      <protection/>
    </xf>
    <xf numFmtId="170" fontId="54" fillId="2" borderId="10" xfId="0" applyNumberFormat="1" applyFont="1" applyFill="1" applyBorder="1" applyAlignment="1">
      <alignment horizontal="left" vertical="top" wrapText="1"/>
    </xf>
    <xf numFmtId="170" fontId="50" fillId="0" borderId="10" xfId="0" applyNumberFormat="1" applyFont="1" applyBorder="1" applyAlignment="1">
      <alignment horizontal="center" vertical="top" wrapText="1"/>
    </xf>
    <xf numFmtId="170" fontId="50" fillId="0" borderId="10" xfId="0" applyNumberFormat="1" applyFont="1" applyBorder="1" applyAlignment="1">
      <alignment vertical="top" wrapText="1"/>
    </xf>
    <xf numFmtId="165" fontId="54" fillId="6" borderId="10" xfId="103" applyNumberFormat="1" applyFont="1" applyFill="1" applyBorder="1" applyAlignment="1">
      <alignment horizontal="right" vertical="top" wrapText="1"/>
      <protection/>
    </xf>
    <xf numFmtId="165" fontId="54" fillId="0" borderId="10" xfId="103" applyNumberFormat="1" applyFont="1" applyBorder="1" applyAlignment="1">
      <alignment horizontal="center" vertical="top" wrapText="1"/>
      <protection/>
    </xf>
    <xf numFmtId="165" fontId="54" fillId="0" borderId="10" xfId="0" applyNumberFormat="1" applyFont="1" applyBorder="1" applyAlignment="1">
      <alignment horizontal="center" vertical="top" wrapText="1"/>
    </xf>
    <xf numFmtId="164" fontId="50" fillId="0" borderId="0" xfId="103" applyFont="1" applyBorder="1" applyAlignment="1">
      <alignment horizontal="left"/>
      <protection/>
    </xf>
    <xf numFmtId="164" fontId="56" fillId="0" borderId="0" xfId="0" applyFont="1" applyBorder="1" applyAlignment="1">
      <alignment horizontal="center" vertical="center"/>
    </xf>
    <xf numFmtId="164" fontId="54" fillId="0" borderId="0" xfId="0" applyFont="1" applyAlignment="1">
      <alignment horizontal="center" vertical="center"/>
    </xf>
    <xf numFmtId="164" fontId="54" fillId="6" borderId="10" xfId="0" applyFont="1" applyFill="1" applyBorder="1" applyAlignment="1">
      <alignment horizontal="center" vertical="center"/>
    </xf>
    <xf numFmtId="166" fontId="54" fillId="6" borderId="10" xfId="0" applyNumberFormat="1" applyFont="1" applyFill="1" applyBorder="1" applyAlignment="1">
      <alignment horizontal="center" vertical="center"/>
    </xf>
    <xf numFmtId="164" fontId="54" fillId="6" borderId="10" xfId="0" applyFont="1" applyFill="1" applyBorder="1" applyAlignment="1">
      <alignment horizontal="center" vertical="center" wrapText="1"/>
    </xf>
    <xf numFmtId="165" fontId="54" fillId="6" borderId="10" xfId="0" applyNumberFormat="1" applyFont="1" applyFill="1" applyBorder="1" applyAlignment="1">
      <alignment horizontal="center" vertical="center"/>
    </xf>
    <xf numFmtId="164" fontId="39" fillId="0" borderId="0" xfId="0" applyFont="1" applyBorder="1" applyAlignment="1">
      <alignment horizontal="center"/>
    </xf>
    <xf numFmtId="164" fontId="35" fillId="0" borderId="10" xfId="0" applyFont="1" applyBorder="1" applyAlignment="1">
      <alignment horizontal="center"/>
    </xf>
    <xf numFmtId="164" fontId="50" fillId="0" borderId="10" xfId="0" applyFont="1" applyBorder="1" applyAlignment="1">
      <alignment horizontal="left"/>
    </xf>
    <xf numFmtId="164" fontId="50" fillId="0" borderId="10" xfId="0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164" fontId="45" fillId="0" borderId="10" xfId="0" applyFont="1" applyBorder="1" applyAlignment="1">
      <alignment vertical="center"/>
    </xf>
    <xf numFmtId="164" fontId="45" fillId="0" borderId="0" xfId="0" applyFont="1" applyAlignment="1">
      <alignment vertical="center"/>
    </xf>
    <xf numFmtId="166" fontId="50" fillId="0" borderId="0" xfId="0" applyNumberFormat="1" applyFont="1" applyAlignment="1">
      <alignment horizontal="center" vertical="center"/>
    </xf>
    <xf numFmtId="164" fontId="50" fillId="0" borderId="0" xfId="0" applyFont="1" applyAlignment="1">
      <alignment horizontal="center" vertical="center" wrapText="1"/>
    </xf>
    <xf numFmtId="165" fontId="50" fillId="0" borderId="0" xfId="0" applyNumberFormat="1" applyFont="1" applyAlignment="1">
      <alignment horizontal="center" vertical="center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  <cellStyle name="Normalny_Prognoza i kredyty-tabele 2003" xfId="102"/>
    <cellStyle name="Excel Built-in Normal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uchwa&#322;a%20WPF\za&#322;aczniki%20do%20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_1_WPF"/>
      <sheetName val="załacznik 2"/>
      <sheetName val="załcznika 2a"/>
    </sheetNames>
    <sheetDataSet>
      <sheetData sheetId="1">
        <row r="5">
          <cell r="I5">
            <v>3307000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showGridLines="0" defaultGridColor="0" view="pageBreakPreview" zoomScaleSheetLayoutView="100" colorId="15" workbookViewId="0" topLeftCell="A9">
      <selection activeCell="B55" sqref="B55"/>
    </sheetView>
  </sheetViews>
  <sheetFormatPr defaultColWidth="12.00390625" defaultRowHeight="12.75"/>
  <cols>
    <col min="1" max="1" width="97.125" style="1" customWidth="1"/>
    <col min="2" max="2" width="17.00390625" style="2" customWidth="1"/>
    <col min="3" max="16384" width="11.625" style="3" customWidth="1"/>
  </cols>
  <sheetData>
    <row r="1" spans="1:2" ht="36.75" customHeight="1">
      <c r="A1" s="4" t="s">
        <v>0</v>
      </c>
      <c r="B1" s="4"/>
    </row>
    <row r="2" spans="1:2" ht="17.25" customHeight="1">
      <c r="A2" s="4" t="s">
        <v>1</v>
      </c>
      <c r="B2" s="4"/>
    </row>
    <row r="3" spans="1:2" ht="19.5" customHeight="1">
      <c r="A3" s="4" t="s">
        <v>2</v>
      </c>
      <c r="B3" s="4"/>
    </row>
    <row r="4" spans="1:2" ht="20.25" customHeight="1">
      <c r="A4" s="5" t="s">
        <v>3</v>
      </c>
      <c r="B4" s="5"/>
    </row>
    <row r="5" spans="1:2" ht="16.5">
      <c r="A5" s="6"/>
      <c r="B5" s="7"/>
    </row>
    <row r="6" spans="1:5" ht="29.25" customHeight="1">
      <c r="A6" s="8" t="s">
        <v>4</v>
      </c>
      <c r="B6" s="8"/>
      <c r="E6" s="9"/>
    </row>
    <row r="7" spans="1:2" ht="16.5">
      <c r="A7" s="10"/>
      <c r="B7" s="7"/>
    </row>
    <row r="8" spans="1:2" ht="16.5">
      <c r="A8" s="11" t="s">
        <v>5</v>
      </c>
      <c r="B8" s="12">
        <f>SUM(B10:B11)</f>
        <v>47831941.46</v>
      </c>
    </row>
    <row r="9" spans="1:2" ht="16.5">
      <c r="A9" s="8" t="s">
        <v>6</v>
      </c>
      <c r="B9" s="13"/>
    </row>
    <row r="10" spans="1:2" ht="16.5">
      <c r="A10" s="8" t="s">
        <v>7</v>
      </c>
      <c r="B10" s="13">
        <f>'zał 1'!D19</f>
        <v>42874328.46</v>
      </c>
    </row>
    <row r="11" spans="1:2" ht="16.5">
      <c r="A11" s="8" t="s">
        <v>8</v>
      </c>
      <c r="B11" s="13">
        <f>'zał 1'!E19</f>
        <v>4957613</v>
      </c>
    </row>
    <row r="12" spans="1:2" ht="16.5">
      <c r="A12" s="8" t="s">
        <v>9</v>
      </c>
      <c r="B12" s="13"/>
    </row>
    <row r="13" spans="1:2" ht="29.25">
      <c r="A13" s="8" t="s">
        <v>10</v>
      </c>
      <c r="B13" s="13">
        <f>'zał 3'!F21</f>
        <v>5867470</v>
      </c>
    </row>
    <row r="14" spans="1:2" ht="29.25">
      <c r="A14" s="8" t="s">
        <v>11</v>
      </c>
      <c r="B14" s="13">
        <f>'zał 4'!E9</f>
        <v>7000</v>
      </c>
    </row>
    <row r="15" spans="1:2" ht="16.5">
      <c r="A15" s="8"/>
      <c r="B15" s="13"/>
    </row>
    <row r="16" spans="1:2" ht="16.5">
      <c r="A16" s="11" t="s">
        <v>12</v>
      </c>
      <c r="B16" s="12">
        <f>SUM(B18:B19)</f>
        <v>54915122.9063</v>
      </c>
    </row>
    <row r="17" spans="1:2" ht="16.5">
      <c r="A17" s="8" t="s">
        <v>13</v>
      </c>
      <c r="B17" s="12"/>
    </row>
    <row r="18" spans="1:2" ht="16.5">
      <c r="A18" s="8" t="s">
        <v>14</v>
      </c>
      <c r="B18" s="13">
        <f>'zał 6'!D24</f>
        <v>42662409.9063</v>
      </c>
    </row>
    <row r="19" spans="1:2" ht="16.5">
      <c r="A19" s="8" t="s">
        <v>15</v>
      </c>
      <c r="B19" s="13">
        <f>'zał 6'!E24</f>
        <v>12252713</v>
      </c>
    </row>
    <row r="20" spans="1:2" ht="16.5">
      <c r="A20" s="8" t="s">
        <v>16</v>
      </c>
      <c r="B20" s="13"/>
    </row>
    <row r="21" spans="1:2" ht="29.25">
      <c r="A21" s="8" t="s">
        <v>17</v>
      </c>
      <c r="B21" s="13">
        <f>'zał 8'!E62</f>
        <v>5867470</v>
      </c>
    </row>
    <row r="22" spans="1:2" ht="29.25">
      <c r="A22" s="8" t="s">
        <v>18</v>
      </c>
      <c r="B22" s="13">
        <f>'zał 9'!E6</f>
        <v>7000</v>
      </c>
    </row>
    <row r="23" spans="1:2" ht="16.5">
      <c r="A23" s="8"/>
      <c r="B23" s="13"/>
    </row>
    <row r="24" spans="1:2" ht="29.25">
      <c r="A24" s="11" t="s">
        <v>19</v>
      </c>
      <c r="B24" s="12">
        <f>B16-B8</f>
        <v>7083181.4463</v>
      </c>
    </row>
    <row r="25" spans="1:2" ht="16.5">
      <c r="A25" s="8" t="s">
        <v>20</v>
      </c>
      <c r="B25" s="13">
        <f>'zał 27'!D5-'zał 27'!D14</f>
        <v>6385410.4463</v>
      </c>
    </row>
    <row r="26" spans="1:2" ht="16.5">
      <c r="A26" s="8" t="s">
        <v>21</v>
      </c>
      <c r="B26" s="13"/>
    </row>
    <row r="27" spans="1:2" ht="16.5">
      <c r="A27" s="8" t="s">
        <v>22</v>
      </c>
      <c r="B27" s="13">
        <f>'zał 27'!D7</f>
        <v>500000</v>
      </c>
    </row>
    <row r="28" spans="1:2" ht="16.5">
      <c r="A28" s="8" t="s">
        <v>23</v>
      </c>
      <c r="B28" s="13">
        <f>'zał 27'!D10</f>
        <v>0</v>
      </c>
    </row>
    <row r="29" spans="1:2" ht="16.5">
      <c r="A29" s="8" t="s">
        <v>24</v>
      </c>
      <c r="B29" s="13">
        <v>3768</v>
      </c>
    </row>
    <row r="30" spans="1:2" ht="43.5">
      <c r="A30" s="8" t="s">
        <v>25</v>
      </c>
      <c r="B30" s="13">
        <f>'zał 27'!D12</f>
        <v>194003</v>
      </c>
    </row>
    <row r="31" spans="1:2" ht="16.5">
      <c r="A31" s="11"/>
      <c r="B31" s="12"/>
    </row>
    <row r="32" spans="1:2" ht="16.5">
      <c r="A32" s="11" t="s">
        <v>26</v>
      </c>
      <c r="B32" s="12"/>
    </row>
    <row r="33" spans="1:2" ht="16.5">
      <c r="A33" s="8" t="s">
        <v>27</v>
      </c>
      <c r="B33" s="13">
        <f>'zał 27'!D4</f>
        <v>8462630.4463</v>
      </c>
    </row>
    <row r="34" spans="1:2" ht="16.5">
      <c r="A34" s="8" t="s">
        <v>28</v>
      </c>
      <c r="B34" s="13">
        <f>'zał 27'!D14</f>
        <v>1379449</v>
      </c>
    </row>
    <row r="35" spans="1:2" ht="16.5">
      <c r="A35" s="8"/>
      <c r="B35" s="13"/>
    </row>
    <row r="36" spans="1:2" ht="16.5">
      <c r="A36" s="14" t="s">
        <v>29</v>
      </c>
      <c r="B36" s="12">
        <f>SUM(B37:B38)</f>
        <v>140000</v>
      </c>
    </row>
    <row r="37" spans="1:2" ht="16.5">
      <c r="A37" s="8" t="s">
        <v>30</v>
      </c>
      <c r="B37" s="13">
        <f>'zał 7'!E110</f>
        <v>60000</v>
      </c>
    </row>
    <row r="38" spans="1:2" ht="16.5">
      <c r="A38" s="8" t="s">
        <v>31</v>
      </c>
      <c r="B38" s="13">
        <f>'zał 7'!E97</f>
        <v>80000</v>
      </c>
    </row>
    <row r="39" spans="1:2" ht="16.5">
      <c r="A39" s="15"/>
      <c r="B39" s="13"/>
    </row>
    <row r="40" spans="1:2" ht="16.5">
      <c r="A40" s="14" t="s">
        <v>32</v>
      </c>
      <c r="B40" s="12">
        <f>B41+B42</f>
        <v>182586</v>
      </c>
    </row>
    <row r="41" spans="1:2" ht="16.5">
      <c r="A41" s="16" t="s">
        <v>33</v>
      </c>
      <c r="B41" s="13">
        <f>'zał 28'!F109</f>
        <v>182586</v>
      </c>
    </row>
    <row r="42" spans="1:2" ht="16.5">
      <c r="A42" s="16" t="s">
        <v>34</v>
      </c>
      <c r="B42" s="13"/>
    </row>
    <row r="43" spans="1:2" ht="16.5">
      <c r="A43" s="14"/>
      <c r="B43" s="13"/>
    </row>
    <row r="44" spans="1:2" ht="16.5">
      <c r="A44" s="14" t="s">
        <v>35</v>
      </c>
      <c r="B44" s="17"/>
    </row>
    <row r="45" spans="1:2" ht="16.5">
      <c r="A45" s="15" t="s">
        <v>36</v>
      </c>
      <c r="B45" s="13">
        <f>'zał 2'!E58</f>
        <v>280000</v>
      </c>
    </row>
    <row r="46" spans="1:2" ht="29.25">
      <c r="A46" s="15" t="s">
        <v>37</v>
      </c>
      <c r="B46" s="13">
        <f>'zał 7'!E233</f>
        <v>242400</v>
      </c>
    </row>
    <row r="47" spans="1:2" ht="16.5">
      <c r="A47" s="15" t="s">
        <v>38</v>
      </c>
      <c r="B47" s="13">
        <f>'zał 7'!E230</f>
        <v>50000</v>
      </c>
    </row>
    <row r="48" spans="1:2" ht="16.5">
      <c r="A48" s="15"/>
      <c r="B48" s="13"/>
    </row>
    <row r="49" spans="1:2" ht="33">
      <c r="A49" s="18" t="s">
        <v>39</v>
      </c>
      <c r="B49" s="13"/>
    </row>
    <row r="50" spans="1:2" ht="32.25">
      <c r="A50" s="15" t="s">
        <v>40</v>
      </c>
      <c r="B50" s="13">
        <v>3000000</v>
      </c>
    </row>
    <row r="51" spans="1:2" ht="32.25">
      <c r="A51" s="15" t="s">
        <v>41</v>
      </c>
      <c r="B51" s="13">
        <f>B24</f>
        <v>7083181.4463</v>
      </c>
    </row>
    <row r="52" spans="1:2" ht="32.25">
      <c r="A52" s="15" t="s">
        <v>42</v>
      </c>
      <c r="B52" s="13">
        <f>B34</f>
        <v>1379449</v>
      </c>
    </row>
    <row r="53" spans="1:2" ht="32.25">
      <c r="A53" s="15" t="s">
        <v>43</v>
      </c>
      <c r="B53" s="13">
        <f>'zał 2'!I137</f>
        <v>3491613</v>
      </c>
    </row>
    <row r="54" spans="1:2" ht="16.5">
      <c r="A54" s="15"/>
      <c r="B54" s="13"/>
    </row>
    <row r="55" spans="1:2" ht="63" customHeight="1">
      <c r="A55" s="18" t="s">
        <v>44</v>
      </c>
      <c r="B55" s="13">
        <f>'[1]załacznik 2'!I5</f>
        <v>3307000</v>
      </c>
    </row>
    <row r="56" spans="1:2" ht="17.25">
      <c r="A56" s="18"/>
      <c r="B56" s="13"/>
    </row>
    <row r="57" spans="1:2" ht="29.25">
      <c r="A57" s="19" t="s">
        <v>45</v>
      </c>
      <c r="B57" s="13"/>
    </row>
    <row r="58" spans="1:2" ht="17.25">
      <c r="A58" s="18"/>
      <c r="B58" s="13"/>
    </row>
    <row r="59" spans="1:2" ht="16.5">
      <c r="A59" s="11" t="s">
        <v>46</v>
      </c>
      <c r="B59" s="12"/>
    </row>
    <row r="60" spans="1:2" ht="16.5">
      <c r="A60" s="11"/>
      <c r="B60" s="12"/>
    </row>
    <row r="61" spans="1:2" ht="16.5">
      <c r="A61" s="11" t="s">
        <v>47</v>
      </c>
      <c r="B61" s="12"/>
    </row>
    <row r="62" spans="1:2" ht="16.5">
      <c r="A62" s="11"/>
      <c r="B62" s="12"/>
    </row>
    <row r="63" spans="1:2" ht="16.5">
      <c r="A63" s="11" t="s">
        <v>48</v>
      </c>
      <c r="B63" s="12"/>
    </row>
    <row r="64" spans="1:2" ht="16.5">
      <c r="A64" s="11"/>
      <c r="B64" s="12"/>
    </row>
    <row r="65" spans="1:2" ht="16.5">
      <c r="A65" s="11" t="s">
        <v>49</v>
      </c>
      <c r="B65" s="20">
        <f>B66+B70</f>
        <v>4782776</v>
      </c>
    </row>
    <row r="66" spans="1:2" ht="16.5">
      <c r="A66" s="21" t="s">
        <v>50</v>
      </c>
      <c r="B66" s="13">
        <f>B67+B68</f>
        <v>2885000</v>
      </c>
    </row>
    <row r="67" spans="1:2" ht="16.5">
      <c r="A67" s="22" t="s">
        <v>51</v>
      </c>
      <c r="B67" s="13">
        <f>'zał 7'!E344</f>
        <v>1200000</v>
      </c>
    </row>
    <row r="68" spans="1:2" ht="17.25">
      <c r="A68" s="23" t="s">
        <v>52</v>
      </c>
      <c r="B68" s="13">
        <f>'zał 25'!E15</f>
        <v>1685000</v>
      </c>
    </row>
    <row r="69" spans="1:2" ht="17.25">
      <c r="A69" s="23"/>
      <c r="B69" s="13"/>
    </row>
    <row r="70" spans="1:2" ht="16.5">
      <c r="A70" s="21" t="s">
        <v>53</v>
      </c>
      <c r="B70" s="13">
        <f>B71+B72</f>
        <v>1897776</v>
      </c>
    </row>
    <row r="71" spans="1:2" ht="16.5">
      <c r="A71" s="22" t="s">
        <v>54</v>
      </c>
      <c r="B71" s="13">
        <f>'zał 24'!E4</f>
        <v>1657776</v>
      </c>
    </row>
    <row r="72" spans="1:2" ht="17.25">
      <c r="A72" s="23" t="s">
        <v>55</v>
      </c>
      <c r="B72" s="13">
        <f>'zał 26'!E24</f>
        <v>240000</v>
      </c>
    </row>
    <row r="73" spans="1:2" ht="16.5">
      <c r="A73" s="11"/>
      <c r="B73" s="13"/>
    </row>
    <row r="74" spans="1:2" ht="16.5">
      <c r="A74" s="14" t="s">
        <v>56</v>
      </c>
      <c r="B74" s="12"/>
    </row>
    <row r="75" spans="1:2" ht="29.25">
      <c r="A75" s="8" t="s">
        <v>57</v>
      </c>
      <c r="B75" s="12"/>
    </row>
    <row r="76" spans="1:2" ht="30.75">
      <c r="A76" s="15" t="s">
        <v>58</v>
      </c>
      <c r="B76" s="12"/>
    </row>
    <row r="77" spans="1:2" ht="43.5">
      <c r="A77" s="15" t="s">
        <v>59</v>
      </c>
      <c r="B77" s="13"/>
    </row>
    <row r="78" spans="1:2" ht="43.5">
      <c r="A78" s="15" t="s">
        <v>60</v>
      </c>
      <c r="B78" s="13"/>
    </row>
    <row r="79" spans="1:2" ht="29.25">
      <c r="A79" s="8" t="s">
        <v>61</v>
      </c>
      <c r="B79" s="13"/>
    </row>
    <row r="80" spans="1:2" ht="29.25">
      <c r="A80" s="8" t="s">
        <v>62</v>
      </c>
      <c r="B80" s="13"/>
    </row>
    <row r="81" spans="1:2" ht="16.5">
      <c r="A81" s="8"/>
      <c r="B81" s="13"/>
    </row>
    <row r="82" spans="1:2" ht="16.5">
      <c r="A82" s="11" t="s">
        <v>63</v>
      </c>
      <c r="B82" s="12"/>
    </row>
    <row r="83" spans="1:2" ht="16.5">
      <c r="A83" s="11"/>
      <c r="B83" s="12"/>
    </row>
    <row r="84" spans="1:2" ht="29.25">
      <c r="A84" s="11" t="s">
        <v>64</v>
      </c>
      <c r="B84" s="12"/>
    </row>
    <row r="85" spans="1:2" ht="16.5">
      <c r="A85" s="10"/>
      <c r="B85" s="7"/>
    </row>
    <row r="86" spans="1:2" ht="16.5">
      <c r="A86" s="10"/>
      <c r="B86" s="7"/>
    </row>
    <row r="87" spans="1:2" ht="16.5">
      <c r="A87" s="10"/>
      <c r="B87" s="7"/>
    </row>
    <row r="88" spans="1:2" ht="16.5">
      <c r="A88" s="10"/>
      <c r="B88" s="7"/>
    </row>
    <row r="89" spans="1:2" ht="16.5">
      <c r="A89" s="10"/>
      <c r="B89" s="7"/>
    </row>
    <row r="90" spans="1:2" ht="16.5">
      <c r="A90" s="10"/>
      <c r="B90" s="7"/>
    </row>
    <row r="91" spans="1:2" ht="16.5">
      <c r="A91" s="10"/>
      <c r="B91" s="7"/>
    </row>
    <row r="92" spans="1:2" ht="16.5">
      <c r="A92" s="10"/>
      <c r="B92" s="7"/>
    </row>
    <row r="93" spans="1:2" ht="16.5">
      <c r="A93" s="10"/>
      <c r="B93" s="7"/>
    </row>
    <row r="94" spans="1:2" ht="16.5">
      <c r="A94" s="10"/>
      <c r="B94" s="7"/>
    </row>
    <row r="95" spans="1:2" ht="16.5">
      <c r="A95" s="10"/>
      <c r="B95" s="7"/>
    </row>
    <row r="96" spans="1:2" ht="16.5">
      <c r="A96" s="10"/>
      <c r="B96" s="7"/>
    </row>
    <row r="97" spans="1:2" ht="16.5">
      <c r="A97" s="10"/>
      <c r="B97" s="7"/>
    </row>
    <row r="98" spans="1:2" ht="16.5">
      <c r="A98" s="10"/>
      <c r="B98" s="7"/>
    </row>
    <row r="99" spans="1:2" ht="16.5">
      <c r="A99" s="10"/>
      <c r="B99" s="7"/>
    </row>
    <row r="100" spans="1:2" ht="16.5">
      <c r="A100" s="10"/>
      <c r="B100" s="7"/>
    </row>
    <row r="101" spans="1:2" ht="16.5">
      <c r="A101" s="10"/>
      <c r="B101" s="7"/>
    </row>
    <row r="102" spans="1:2" ht="16.5">
      <c r="A102" s="10"/>
      <c r="B102" s="7"/>
    </row>
    <row r="103" spans="1:2" ht="16.5">
      <c r="A103" s="10"/>
      <c r="B103" s="7"/>
    </row>
    <row r="104" spans="1:2" ht="16.5">
      <c r="A104" s="10"/>
      <c r="B104" s="7"/>
    </row>
    <row r="105" spans="1:2" ht="16.5">
      <c r="A105" s="10"/>
      <c r="B105" s="7"/>
    </row>
    <row r="106" spans="1:2" ht="16.5">
      <c r="A106" s="10"/>
      <c r="B106" s="7"/>
    </row>
    <row r="107" spans="1:2" ht="16.5">
      <c r="A107" s="10"/>
      <c r="B107" s="7"/>
    </row>
    <row r="108" spans="1:2" ht="16.5">
      <c r="A108" s="10"/>
      <c r="B108" s="7"/>
    </row>
    <row r="109" spans="1:2" ht="16.5">
      <c r="A109" s="10"/>
      <c r="B109" s="7"/>
    </row>
    <row r="110" spans="1:2" ht="16.5">
      <c r="A110" s="10"/>
      <c r="B110" s="7"/>
    </row>
    <row r="111" spans="1:2" ht="16.5">
      <c r="A111" s="10"/>
      <c r="B111" s="7"/>
    </row>
    <row r="112" spans="1:2" ht="16.5">
      <c r="A112" s="10"/>
      <c r="B112" s="7"/>
    </row>
    <row r="113" spans="1:2" ht="16.5">
      <c r="A113" s="10"/>
      <c r="B113" s="7"/>
    </row>
    <row r="114" spans="1:2" ht="16.5">
      <c r="A114" s="10"/>
      <c r="B114" s="7"/>
    </row>
    <row r="115" spans="1:2" ht="16.5">
      <c r="A115" s="10"/>
      <c r="B115" s="7"/>
    </row>
    <row r="116" spans="1:2" ht="16.5">
      <c r="A116" s="10"/>
      <c r="B116" s="7"/>
    </row>
    <row r="117" spans="1:2" ht="16.5">
      <c r="A117" s="10"/>
      <c r="B117" s="7"/>
    </row>
    <row r="118" spans="1:2" ht="16.5">
      <c r="A118" s="10"/>
      <c r="B118" s="7"/>
    </row>
    <row r="119" spans="1:2" ht="16.5">
      <c r="A119" s="10"/>
      <c r="B119" s="7"/>
    </row>
    <row r="120" spans="1:2" ht="16.5">
      <c r="A120" s="10"/>
      <c r="B120" s="7"/>
    </row>
    <row r="121" spans="1:2" ht="16.5">
      <c r="A121" s="10"/>
      <c r="B121" s="7"/>
    </row>
    <row r="122" spans="1:2" ht="16.5">
      <c r="A122" s="10"/>
      <c r="B122" s="7"/>
    </row>
    <row r="123" spans="1:2" ht="16.5">
      <c r="A123" s="10"/>
      <c r="B123" s="7"/>
    </row>
    <row r="124" spans="1:2" ht="16.5">
      <c r="A124" s="10"/>
      <c r="B124" s="7"/>
    </row>
    <row r="125" spans="1:2" ht="16.5">
      <c r="A125" s="10"/>
      <c r="B125" s="7"/>
    </row>
    <row r="126" spans="1:2" ht="16.5">
      <c r="A126" s="10"/>
      <c r="B126" s="7"/>
    </row>
    <row r="127" spans="1:2" ht="16.5">
      <c r="A127" s="10"/>
      <c r="B127" s="7"/>
    </row>
    <row r="128" spans="1:2" ht="16.5">
      <c r="A128" s="10"/>
      <c r="B128" s="7"/>
    </row>
    <row r="129" spans="1:2" ht="16.5">
      <c r="A129" s="10"/>
      <c r="B129" s="7"/>
    </row>
    <row r="130" spans="1:2" ht="16.5">
      <c r="A130" s="10"/>
      <c r="B130" s="7"/>
    </row>
    <row r="131" spans="1:2" ht="16.5">
      <c r="A131" s="10"/>
      <c r="B131" s="7"/>
    </row>
    <row r="132" spans="1:2" ht="16.5">
      <c r="A132" s="10"/>
      <c r="B132" s="7"/>
    </row>
    <row r="133" spans="1:2" ht="16.5">
      <c r="A133" s="10"/>
      <c r="B133" s="7"/>
    </row>
    <row r="134" spans="1:2" ht="16.5">
      <c r="A134" s="10"/>
      <c r="B134" s="7"/>
    </row>
    <row r="135" spans="1:2" ht="16.5">
      <c r="A135" s="10"/>
      <c r="B135" s="7"/>
    </row>
    <row r="136" spans="1:2" ht="16.5">
      <c r="A136" s="10"/>
      <c r="B136" s="7"/>
    </row>
    <row r="137" spans="1:2" ht="16.5">
      <c r="A137" s="10"/>
      <c r="B137" s="7"/>
    </row>
    <row r="138" spans="1:2" ht="16.5">
      <c r="A138" s="10"/>
      <c r="B138" s="7"/>
    </row>
    <row r="139" spans="1:2" ht="16.5">
      <c r="A139" s="10"/>
      <c r="B139" s="7"/>
    </row>
    <row r="140" spans="1:2" ht="16.5">
      <c r="A140" s="10"/>
      <c r="B140" s="7"/>
    </row>
    <row r="141" spans="1:2" ht="16.5">
      <c r="A141" s="10"/>
      <c r="B141" s="7"/>
    </row>
    <row r="142" spans="1:2" ht="16.5">
      <c r="A142" s="10"/>
      <c r="B142" s="7"/>
    </row>
    <row r="143" spans="1:2" ht="16.5">
      <c r="A143" s="10"/>
      <c r="B143" s="7"/>
    </row>
    <row r="144" spans="1:2" ht="16.5">
      <c r="A144" s="10"/>
      <c r="B144" s="7"/>
    </row>
    <row r="145" spans="1:2" ht="16.5">
      <c r="A145" s="10"/>
      <c r="B145" s="7"/>
    </row>
    <row r="146" spans="1:2" ht="16.5">
      <c r="A146" s="10"/>
      <c r="B146" s="7"/>
    </row>
    <row r="147" spans="1:2" ht="16.5">
      <c r="A147" s="10"/>
      <c r="B147" s="7"/>
    </row>
    <row r="148" spans="1:2" ht="16.5">
      <c r="A148" s="10"/>
      <c r="B148" s="7"/>
    </row>
    <row r="149" spans="1:2" ht="16.5">
      <c r="A149" s="10"/>
      <c r="B149" s="7"/>
    </row>
    <row r="150" spans="1:2" ht="16.5">
      <c r="A150" s="10"/>
      <c r="B150" s="7"/>
    </row>
    <row r="151" spans="1:2" ht="16.5">
      <c r="A151" s="10"/>
      <c r="B151" s="7"/>
    </row>
    <row r="152" spans="1:2" ht="16.5">
      <c r="A152" s="10"/>
      <c r="B152" s="7"/>
    </row>
    <row r="153" spans="1:2" ht="16.5">
      <c r="A153" s="10"/>
      <c r="B153" s="7"/>
    </row>
    <row r="154" spans="1:2" ht="16.5">
      <c r="A154" s="10"/>
      <c r="B154" s="7"/>
    </row>
    <row r="155" spans="1:2" ht="16.5">
      <c r="A155" s="10"/>
      <c r="B155" s="7"/>
    </row>
    <row r="156" spans="1:2" ht="16.5">
      <c r="A156" s="10"/>
      <c r="B156" s="7"/>
    </row>
    <row r="157" spans="1:2" ht="16.5">
      <c r="A157" s="10"/>
      <c r="B157" s="7"/>
    </row>
    <row r="158" spans="1:2" ht="16.5">
      <c r="A158" s="10"/>
      <c r="B158" s="7"/>
    </row>
    <row r="159" spans="1:2" ht="16.5">
      <c r="A159" s="10"/>
      <c r="B159" s="7"/>
    </row>
    <row r="160" spans="1:2" ht="16.5">
      <c r="A160" s="10"/>
      <c r="B160" s="7"/>
    </row>
    <row r="161" spans="1:2" ht="16.5">
      <c r="A161" s="10"/>
      <c r="B161" s="7"/>
    </row>
    <row r="162" spans="1:2" ht="16.5">
      <c r="A162" s="10"/>
      <c r="B162" s="7"/>
    </row>
    <row r="163" spans="1:2" ht="16.5">
      <c r="A163" s="10"/>
      <c r="B163" s="7"/>
    </row>
    <row r="164" spans="1:2" ht="16.5">
      <c r="A164" s="10"/>
      <c r="B164" s="7"/>
    </row>
    <row r="165" spans="1:2" ht="16.5">
      <c r="A165" s="10"/>
      <c r="B165" s="7"/>
    </row>
    <row r="166" spans="1:2" ht="16.5">
      <c r="A166" s="10"/>
      <c r="B166" s="7"/>
    </row>
    <row r="167" spans="1:2" ht="16.5">
      <c r="A167" s="10"/>
      <c r="B167" s="7"/>
    </row>
    <row r="168" spans="1:2" ht="16.5">
      <c r="A168" s="10"/>
      <c r="B168" s="7"/>
    </row>
    <row r="169" spans="1:2" ht="16.5">
      <c r="A169" s="10"/>
      <c r="B169" s="7"/>
    </row>
    <row r="170" spans="1:2" ht="16.5">
      <c r="A170" s="10"/>
      <c r="B170" s="7"/>
    </row>
    <row r="171" spans="1:2" ht="16.5">
      <c r="A171" s="10"/>
      <c r="B171" s="7"/>
    </row>
    <row r="172" spans="1:2" ht="16.5">
      <c r="A172" s="10"/>
      <c r="B172" s="7"/>
    </row>
    <row r="173" spans="1:2" ht="16.5">
      <c r="A173" s="10"/>
      <c r="B173" s="7"/>
    </row>
    <row r="174" spans="1:2" ht="16.5">
      <c r="A174" s="10"/>
      <c r="B174" s="7"/>
    </row>
    <row r="175" spans="1:2" ht="16.5">
      <c r="A175" s="10"/>
      <c r="B175" s="7"/>
    </row>
    <row r="176" spans="1:2" ht="16.5">
      <c r="A176" s="10"/>
      <c r="B176" s="7"/>
    </row>
    <row r="177" spans="1:2" ht="16.5">
      <c r="A177" s="10"/>
      <c r="B177" s="7"/>
    </row>
    <row r="178" spans="1:2" ht="16.5">
      <c r="A178" s="10"/>
      <c r="B178" s="7"/>
    </row>
    <row r="179" spans="1:2" ht="16.5">
      <c r="A179" s="10"/>
      <c r="B179" s="7"/>
    </row>
    <row r="180" spans="1:2" ht="16.5">
      <c r="A180" s="10"/>
      <c r="B180" s="7"/>
    </row>
    <row r="181" spans="1:2" ht="16.5">
      <c r="A181" s="10"/>
      <c r="B181" s="7"/>
    </row>
    <row r="182" spans="1:2" ht="16.5">
      <c r="A182" s="10"/>
      <c r="B182" s="7"/>
    </row>
    <row r="183" spans="1:2" ht="16.5">
      <c r="A183" s="10"/>
      <c r="B183" s="7"/>
    </row>
    <row r="184" spans="1:2" ht="16.5">
      <c r="A184" s="10"/>
      <c r="B184" s="7"/>
    </row>
    <row r="185" spans="1:2" ht="16.5">
      <c r="A185" s="10"/>
      <c r="B185" s="7"/>
    </row>
    <row r="186" spans="1:2" ht="16.5">
      <c r="A186" s="10"/>
      <c r="B186" s="7"/>
    </row>
    <row r="187" spans="1:2" ht="16.5">
      <c r="A187" s="10"/>
      <c r="B187" s="7"/>
    </row>
    <row r="188" spans="1:2" ht="16.5">
      <c r="A188" s="10"/>
      <c r="B188" s="7"/>
    </row>
    <row r="189" spans="1:2" ht="16.5">
      <c r="A189" s="10"/>
      <c r="B189" s="7"/>
    </row>
    <row r="190" spans="1:2" ht="16.5">
      <c r="A190" s="10"/>
      <c r="B190" s="7"/>
    </row>
    <row r="191" spans="1:2" ht="16.5">
      <c r="A191" s="10"/>
      <c r="B191" s="7"/>
    </row>
    <row r="192" spans="1:2" ht="16.5">
      <c r="A192" s="10"/>
      <c r="B192" s="7"/>
    </row>
    <row r="193" spans="1:2" ht="16.5">
      <c r="A193" s="10"/>
      <c r="B193" s="7"/>
    </row>
    <row r="194" spans="1:2" ht="16.5">
      <c r="A194" s="10"/>
      <c r="B194" s="7"/>
    </row>
    <row r="195" spans="1:2" ht="16.5">
      <c r="A195" s="10"/>
      <c r="B195" s="7"/>
    </row>
    <row r="196" spans="1:2" ht="16.5">
      <c r="A196" s="10"/>
      <c r="B196" s="7"/>
    </row>
    <row r="197" spans="1:2" ht="16.5">
      <c r="A197" s="10"/>
      <c r="B197" s="7"/>
    </row>
    <row r="198" spans="1:2" ht="16.5">
      <c r="A198" s="10"/>
      <c r="B198" s="7"/>
    </row>
    <row r="199" spans="1:2" ht="16.5">
      <c r="A199" s="10"/>
      <c r="B199" s="7"/>
    </row>
    <row r="200" spans="1:2" ht="16.5">
      <c r="A200" s="10"/>
      <c r="B200" s="7"/>
    </row>
    <row r="201" spans="1:2" ht="16.5">
      <c r="A201" s="10"/>
      <c r="B201" s="7"/>
    </row>
    <row r="202" spans="1:2" ht="16.5">
      <c r="A202" s="10"/>
      <c r="B202" s="7"/>
    </row>
    <row r="203" spans="1:2" ht="16.5">
      <c r="A203" s="10"/>
      <c r="B203" s="7"/>
    </row>
    <row r="204" spans="1:2" ht="16.5">
      <c r="A204" s="10"/>
      <c r="B204" s="7"/>
    </row>
    <row r="205" spans="1:2" ht="16.5">
      <c r="A205" s="10"/>
      <c r="B205" s="7"/>
    </row>
    <row r="206" spans="1:2" ht="16.5">
      <c r="A206" s="10"/>
      <c r="B206" s="7"/>
    </row>
    <row r="207" spans="1:2" ht="16.5">
      <c r="A207" s="10"/>
      <c r="B207" s="7"/>
    </row>
    <row r="208" spans="1:2" ht="16.5">
      <c r="A208" s="10"/>
      <c r="B208" s="7"/>
    </row>
    <row r="209" spans="1:2" ht="16.5">
      <c r="A209" s="10"/>
      <c r="B209" s="7"/>
    </row>
    <row r="210" spans="1:2" ht="16.5">
      <c r="A210" s="10"/>
      <c r="B210" s="7"/>
    </row>
    <row r="211" spans="1:2" ht="16.5">
      <c r="A211" s="10"/>
      <c r="B211" s="7"/>
    </row>
    <row r="212" spans="1:2" ht="16.5">
      <c r="A212" s="10"/>
      <c r="B212" s="7"/>
    </row>
  </sheetData>
  <mergeCells count="5">
    <mergeCell ref="A1:B1"/>
    <mergeCell ref="A2:B2"/>
    <mergeCell ref="A3:B3"/>
    <mergeCell ref="A4:B4"/>
    <mergeCell ref="A6:B6"/>
  </mergeCells>
  <printOptions/>
  <pageMargins left="0.7875" right="0.7875" top="1.1506944444444445" bottom="0.9541666666666666" header="0.7875" footer="0.7875"/>
  <pageSetup horizontalDpi="300" verticalDpi="300" orientation="portrait" paperSize="9" scale="73"/>
  <headerFooter alignWithMargins="0">
    <oddHeader>&amp;R&amp;"Times New Roman,Normalny"&amp;12PROJEKT</oddHeader>
    <oddFooter>&amp;C&amp;"Times New Roman,Normalny"&amp;12Strona &amp;P z &amp;N</oddFooter>
  </headerFooter>
  <rowBreaks count="1" manualBreakCount="1">
    <brk id="47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"/>
  <sheetViews>
    <sheetView showGridLines="0" defaultGridColor="0" view="pageBreakPreview" zoomScaleSheetLayoutView="100" colorId="15" workbookViewId="0" topLeftCell="B1">
      <selection activeCell="R10" sqref="R10"/>
    </sheetView>
  </sheetViews>
  <sheetFormatPr defaultColWidth="9.00390625" defaultRowHeight="12.75"/>
  <cols>
    <col min="1" max="1" width="6.375" style="119" customWidth="1"/>
    <col min="2" max="2" width="9.875" style="119" customWidth="1"/>
    <col min="3" max="3" width="6.875" style="119" customWidth="1"/>
    <col min="4" max="4" width="29.125" style="119" customWidth="1"/>
    <col min="5" max="5" width="14.875" style="119" customWidth="1"/>
    <col min="6" max="6" width="13.625" style="119" customWidth="1"/>
    <col min="7" max="7" width="15.625" style="119" customWidth="1"/>
    <col min="8" max="8" width="15.75390625" style="119" customWidth="1"/>
    <col min="9" max="9" width="12.25390625" style="119" customWidth="1"/>
    <col min="10" max="10" width="15.625" style="119" customWidth="1"/>
    <col min="11" max="11" width="15.75390625" style="119" customWidth="1"/>
    <col min="12" max="12" width="12.25390625" style="119" customWidth="1"/>
    <col min="13" max="13" width="15.75390625" style="119" customWidth="1"/>
    <col min="14" max="14" width="12.25390625" style="119" customWidth="1"/>
    <col min="15" max="15" width="15.625" style="119" customWidth="1"/>
    <col min="16" max="16" width="15.75390625" style="119" customWidth="1"/>
    <col min="17" max="17" width="12.25390625" style="119" customWidth="1"/>
    <col min="18" max="18" width="15.875" style="119" customWidth="1"/>
    <col min="19" max="16384" width="9.00390625" style="119" customWidth="1"/>
  </cols>
  <sheetData>
    <row r="1" spans="1:18" ht="81" customHeight="1">
      <c r="A1" s="129" t="s">
        <v>410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267" customFormat="1" ht="15" customHeight="1">
      <c r="A2" s="168" t="s">
        <v>66</v>
      </c>
      <c r="B2" s="168" t="s">
        <v>86</v>
      </c>
      <c r="C2" s="168" t="s">
        <v>87</v>
      </c>
      <c r="D2" s="168" t="s">
        <v>251</v>
      </c>
      <c r="E2" s="168" t="s">
        <v>252</v>
      </c>
      <c r="F2" s="169" t="s">
        <v>253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267" customFormat="1" ht="12" customHeight="1">
      <c r="A3" s="168"/>
      <c r="B3" s="168"/>
      <c r="C3" s="168"/>
      <c r="D3" s="168"/>
      <c r="E3" s="168"/>
      <c r="F3" s="170" t="s">
        <v>242</v>
      </c>
      <c r="G3" s="171" t="s">
        <v>90</v>
      </c>
      <c r="H3" s="171"/>
      <c r="I3" s="171"/>
      <c r="J3" s="171"/>
      <c r="K3" s="171"/>
      <c r="L3" s="171"/>
      <c r="M3" s="171"/>
      <c r="N3" s="171"/>
      <c r="O3" s="172" t="s">
        <v>254</v>
      </c>
      <c r="P3" s="171" t="s">
        <v>90</v>
      </c>
      <c r="Q3" s="171"/>
      <c r="R3" s="171"/>
    </row>
    <row r="4" spans="1:18" s="267" customFormat="1" ht="13.5" customHeight="1">
      <c r="A4" s="168"/>
      <c r="B4" s="168"/>
      <c r="C4" s="168"/>
      <c r="D4" s="168"/>
      <c r="E4" s="168"/>
      <c r="F4" s="170"/>
      <c r="G4" s="170" t="s">
        <v>255</v>
      </c>
      <c r="H4" s="171" t="s">
        <v>13</v>
      </c>
      <c r="I4" s="171"/>
      <c r="J4" s="254" t="s">
        <v>256</v>
      </c>
      <c r="K4" s="254" t="s">
        <v>257</v>
      </c>
      <c r="L4" s="254" t="s">
        <v>91</v>
      </c>
      <c r="M4" s="254" t="s">
        <v>258</v>
      </c>
      <c r="N4" s="254" t="s">
        <v>259</v>
      </c>
      <c r="O4" s="172"/>
      <c r="P4" s="254" t="s">
        <v>260</v>
      </c>
      <c r="Q4" s="255" t="s">
        <v>90</v>
      </c>
      <c r="R4" s="254" t="s">
        <v>261</v>
      </c>
    </row>
    <row r="5" spans="1:18" ht="78.75">
      <c r="A5" s="168"/>
      <c r="B5" s="168"/>
      <c r="C5" s="168"/>
      <c r="D5" s="168"/>
      <c r="E5" s="168"/>
      <c r="F5" s="170"/>
      <c r="G5" s="170"/>
      <c r="H5" s="172" t="s">
        <v>262</v>
      </c>
      <c r="I5" s="254" t="s">
        <v>263</v>
      </c>
      <c r="J5" s="254"/>
      <c r="K5" s="254"/>
      <c r="L5" s="254"/>
      <c r="M5" s="254"/>
      <c r="N5" s="254"/>
      <c r="O5" s="172"/>
      <c r="P5" s="254"/>
      <c r="Q5" s="256" t="s">
        <v>264</v>
      </c>
      <c r="R5" s="254"/>
    </row>
    <row r="6" spans="1:20" ht="18.75" customHeight="1">
      <c r="A6" s="67">
        <v>710</v>
      </c>
      <c r="B6" s="67"/>
      <c r="C6" s="67"/>
      <c r="D6" s="50" t="s">
        <v>280</v>
      </c>
      <c r="E6" s="51">
        <f>E7</f>
        <v>7000</v>
      </c>
      <c r="F6" s="51">
        <f>F7</f>
        <v>7000</v>
      </c>
      <c r="G6" s="51">
        <f>G7</f>
        <v>0</v>
      </c>
      <c r="H6" s="51">
        <f>H7</f>
        <v>0</v>
      </c>
      <c r="I6" s="51">
        <f>I7</f>
        <v>0</v>
      </c>
      <c r="J6" s="51">
        <f>J7</f>
        <v>0</v>
      </c>
      <c r="K6" s="51">
        <f>K7</f>
        <v>0</v>
      </c>
      <c r="L6" s="51">
        <f>L7</f>
        <v>0</v>
      </c>
      <c r="M6" s="51">
        <f>M7</f>
        <v>0</v>
      </c>
      <c r="N6" s="51">
        <f>N7</f>
        <v>0</v>
      </c>
      <c r="O6" s="51">
        <f>O7</f>
        <v>0</v>
      </c>
      <c r="P6" s="51">
        <f>P7</f>
        <v>0</v>
      </c>
      <c r="Q6" s="51">
        <f>Q7</f>
        <v>0</v>
      </c>
      <c r="R6" s="51">
        <f>R7</f>
        <v>0</v>
      </c>
      <c r="S6" s="81"/>
      <c r="T6" s="81"/>
    </row>
    <row r="7" spans="1:18" ht="18.75" customHeight="1">
      <c r="A7" s="68"/>
      <c r="B7" s="68">
        <v>71035</v>
      </c>
      <c r="C7" s="68"/>
      <c r="D7" s="69" t="s">
        <v>120</v>
      </c>
      <c r="E7" s="54">
        <f>E8</f>
        <v>7000</v>
      </c>
      <c r="F7" s="54">
        <f>F8</f>
        <v>7000</v>
      </c>
      <c r="G7" s="54">
        <f>G8</f>
        <v>0</v>
      </c>
      <c r="H7" s="54">
        <f>H8</f>
        <v>0</v>
      </c>
      <c r="I7" s="54">
        <f>I8</f>
        <v>0</v>
      </c>
      <c r="J7" s="54">
        <f>J8</f>
        <v>0</v>
      </c>
      <c r="K7" s="54">
        <f>K8</f>
        <v>0</v>
      </c>
      <c r="L7" s="54">
        <f>L8</f>
        <v>0</v>
      </c>
      <c r="M7" s="54">
        <f>M8</f>
        <v>0</v>
      </c>
      <c r="N7" s="54">
        <f>N8</f>
        <v>0</v>
      </c>
      <c r="O7" s="54">
        <f>O8</f>
        <v>0</v>
      </c>
      <c r="P7" s="54">
        <f>P8</f>
        <v>0</v>
      </c>
      <c r="Q7" s="54">
        <f>Q8</f>
        <v>0</v>
      </c>
      <c r="R7" s="54">
        <f>R8</f>
        <v>0</v>
      </c>
    </row>
    <row r="8" spans="1:18" s="38" customFormat="1" ht="18" customHeight="1">
      <c r="A8" s="259"/>
      <c r="B8" s="259"/>
      <c r="C8" s="259">
        <v>4300</v>
      </c>
      <c r="D8" s="268" t="s">
        <v>350</v>
      </c>
      <c r="E8" s="57">
        <f>F8</f>
        <v>7000</v>
      </c>
      <c r="F8" s="57">
        <v>7000</v>
      </c>
      <c r="G8" s="57"/>
      <c r="H8" s="57"/>
      <c r="I8" s="57"/>
      <c r="J8" s="57"/>
      <c r="K8" s="57"/>
      <c r="L8" s="57"/>
      <c r="M8" s="57"/>
      <c r="N8" s="57"/>
      <c r="O8" s="259"/>
      <c r="P8" s="259"/>
      <c r="Q8" s="259"/>
      <c r="R8" s="259"/>
    </row>
    <row r="9" ht="15.75" customHeight="1"/>
    <row r="10" ht="15.75" customHeight="1">
      <c r="A10" s="269"/>
    </row>
  </sheetData>
  <mergeCells count="20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53"/>
  <headerFooter alignWithMargins="0">
    <oddHeader>&amp;R&amp;"Times New Roman,Normalny"&amp;12Załącznik Nr 9 do projektu uchwały Nr .. Rady Miejskiej w Barlinku z dnia ........grudnia 2010</oddHeader>
    <oddFooter>&amp;C&amp;"Times New Roman,Normalny"&amp;12Strona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GridLines="0" defaultGridColor="0" view="pageBreakPreview" zoomScaleSheetLayoutView="100" colorId="15" workbookViewId="0" topLeftCell="A1">
      <selection activeCell="L17" sqref="L17"/>
    </sheetView>
  </sheetViews>
  <sheetFormatPr defaultColWidth="9.00390625" defaultRowHeight="12.75"/>
  <cols>
    <col min="1" max="1" width="5.625" style="38" customWidth="1"/>
    <col min="2" max="2" width="8.75390625" style="38" customWidth="1"/>
    <col min="3" max="3" width="6.875" style="38" customWidth="1"/>
    <col min="4" max="4" width="44.875" style="117" customWidth="1"/>
    <col min="5" max="5" width="14.875" style="117" customWidth="1"/>
    <col min="6" max="6" width="10.625" style="117" customWidth="1"/>
    <col min="7" max="7" width="13.375" style="117" customWidth="1"/>
    <col min="8" max="8" width="10.625" style="117" customWidth="1"/>
    <col min="9" max="11" width="13.375" style="117" customWidth="1"/>
    <col min="12" max="12" width="10.625" style="117" customWidth="1"/>
    <col min="13" max="13" width="13.375" style="117" customWidth="1"/>
    <col min="14" max="14" width="10.625" style="117" customWidth="1"/>
    <col min="15" max="15" width="13.375" style="117" customWidth="1"/>
    <col min="16" max="17" width="10.625" style="117" customWidth="1"/>
    <col min="18" max="18" width="12.25390625" style="117" customWidth="1"/>
    <col min="19" max="16384" width="9.00390625" style="38" customWidth="1"/>
  </cols>
  <sheetData>
    <row r="1" spans="1:18" ht="54.75" customHeight="1">
      <c r="A1" s="129" t="s">
        <v>411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s="253" customFormat="1" ht="14.25" customHeight="1">
      <c r="A2" s="168" t="s">
        <v>66</v>
      </c>
      <c r="B2" s="168" t="s">
        <v>86</v>
      </c>
      <c r="C2" s="168" t="s">
        <v>87</v>
      </c>
      <c r="D2" s="168" t="s">
        <v>251</v>
      </c>
      <c r="E2" s="168" t="s">
        <v>252</v>
      </c>
      <c r="F2" s="169" t="s">
        <v>253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253" customFormat="1" ht="14.25" customHeight="1">
      <c r="A3" s="168"/>
      <c r="B3" s="168"/>
      <c r="C3" s="168"/>
      <c r="D3" s="168"/>
      <c r="E3" s="168"/>
      <c r="F3" s="170" t="s">
        <v>242</v>
      </c>
      <c r="G3" s="171" t="s">
        <v>90</v>
      </c>
      <c r="H3" s="171"/>
      <c r="I3" s="171"/>
      <c r="J3" s="171"/>
      <c r="K3" s="171"/>
      <c r="L3" s="171"/>
      <c r="M3" s="171"/>
      <c r="N3" s="171"/>
      <c r="O3" s="172" t="s">
        <v>254</v>
      </c>
      <c r="P3" s="171" t="s">
        <v>90</v>
      </c>
      <c r="Q3" s="171"/>
      <c r="R3" s="171"/>
    </row>
    <row r="4" spans="1:18" s="253" customFormat="1" ht="54.75" customHeight="1">
      <c r="A4" s="168"/>
      <c r="B4" s="168"/>
      <c r="C4" s="168"/>
      <c r="D4" s="168"/>
      <c r="E4" s="168"/>
      <c r="F4" s="170"/>
      <c r="G4" s="170" t="s">
        <v>255</v>
      </c>
      <c r="H4" s="171" t="s">
        <v>13</v>
      </c>
      <c r="I4" s="171"/>
      <c r="J4" s="254" t="s">
        <v>256</v>
      </c>
      <c r="K4" s="254" t="s">
        <v>257</v>
      </c>
      <c r="L4" s="254" t="s">
        <v>91</v>
      </c>
      <c r="M4" s="254" t="s">
        <v>258</v>
      </c>
      <c r="N4" s="254" t="s">
        <v>259</v>
      </c>
      <c r="O4" s="172"/>
      <c r="P4" s="254" t="s">
        <v>260</v>
      </c>
      <c r="Q4" s="255" t="s">
        <v>90</v>
      </c>
      <c r="R4" s="254" t="s">
        <v>261</v>
      </c>
    </row>
    <row r="5" spans="1:18" ht="78.75">
      <c r="A5" s="168"/>
      <c r="B5" s="168"/>
      <c r="C5" s="168"/>
      <c r="D5" s="168"/>
      <c r="E5" s="168"/>
      <c r="F5" s="170"/>
      <c r="G5" s="170"/>
      <c r="H5" s="172" t="s">
        <v>262</v>
      </c>
      <c r="I5" s="254" t="s">
        <v>263</v>
      </c>
      <c r="J5" s="254"/>
      <c r="K5" s="254"/>
      <c r="L5" s="254"/>
      <c r="M5" s="254"/>
      <c r="N5" s="254"/>
      <c r="O5" s="172"/>
      <c r="P5" s="254"/>
      <c r="Q5" s="256" t="s">
        <v>264</v>
      </c>
      <c r="R5" s="254"/>
    </row>
    <row r="6" spans="1:18" ht="15">
      <c r="A6" s="46" t="s">
        <v>412</v>
      </c>
      <c r="B6" s="46" t="s">
        <v>413</v>
      </c>
      <c r="C6" s="46" t="s">
        <v>414</v>
      </c>
      <c r="D6" s="46" t="s">
        <v>415</v>
      </c>
      <c r="E6" s="46" t="s">
        <v>416</v>
      </c>
      <c r="F6" s="46" t="s">
        <v>417</v>
      </c>
      <c r="G6" s="46" t="s">
        <v>418</v>
      </c>
      <c r="H6" s="46" t="s">
        <v>419</v>
      </c>
      <c r="I6" s="46" t="s">
        <v>420</v>
      </c>
      <c r="J6" s="46" t="s">
        <v>421</v>
      </c>
      <c r="K6" s="46" t="s">
        <v>422</v>
      </c>
      <c r="L6" s="46" t="s">
        <v>423</v>
      </c>
      <c r="M6" s="46" t="s">
        <v>424</v>
      </c>
      <c r="N6" s="46" t="s">
        <v>425</v>
      </c>
      <c r="O6" s="46" t="s">
        <v>426</v>
      </c>
      <c r="P6" s="46" t="s">
        <v>427</v>
      </c>
      <c r="Q6" s="46" t="s">
        <v>428</v>
      </c>
      <c r="R6" s="46" t="s">
        <v>429</v>
      </c>
    </row>
    <row r="7" spans="1:18" ht="29.25">
      <c r="A7" s="50">
        <v>400</v>
      </c>
      <c r="B7" s="50"/>
      <c r="C7" s="50"/>
      <c r="D7" s="50" t="s">
        <v>98</v>
      </c>
      <c r="E7" s="59">
        <f>E8</f>
        <v>676200</v>
      </c>
      <c r="F7" s="59">
        <f>F8</f>
        <v>0</v>
      </c>
      <c r="G7" s="59">
        <f>G8</f>
        <v>0</v>
      </c>
      <c r="H7" s="59">
        <f>H8</f>
        <v>0</v>
      </c>
      <c r="I7" s="59">
        <f>I8</f>
        <v>0</v>
      </c>
      <c r="J7" s="59">
        <f>J8</f>
        <v>0</v>
      </c>
      <c r="K7" s="59">
        <f>K8</f>
        <v>0</v>
      </c>
      <c r="L7" s="59">
        <f>L8</f>
        <v>0</v>
      </c>
      <c r="M7" s="59">
        <f>M8</f>
        <v>0</v>
      </c>
      <c r="N7" s="59">
        <f>N8</f>
        <v>0</v>
      </c>
      <c r="O7" s="59">
        <f>O8</f>
        <v>676200</v>
      </c>
      <c r="P7" s="59">
        <f>P8</f>
        <v>676200</v>
      </c>
      <c r="Q7" s="59">
        <f>Q8</f>
        <v>676200</v>
      </c>
      <c r="R7" s="59">
        <f>R8</f>
        <v>0</v>
      </c>
    </row>
    <row r="8" spans="1:18" ht="15">
      <c r="A8" s="60"/>
      <c r="B8" s="60">
        <v>40002</v>
      </c>
      <c r="C8" s="60"/>
      <c r="D8" s="61" t="s">
        <v>99</v>
      </c>
      <c r="E8" s="62">
        <f>E9</f>
        <v>676200</v>
      </c>
      <c r="F8" s="62">
        <f>F9</f>
        <v>0</v>
      </c>
      <c r="G8" s="62">
        <f>G9</f>
        <v>0</v>
      </c>
      <c r="H8" s="62">
        <f>H9</f>
        <v>0</v>
      </c>
      <c r="I8" s="62">
        <f>I9</f>
        <v>0</v>
      </c>
      <c r="J8" s="62">
        <f>J9</f>
        <v>0</v>
      </c>
      <c r="K8" s="62">
        <f>K9</f>
        <v>0</v>
      </c>
      <c r="L8" s="62">
        <f>L9</f>
        <v>0</v>
      </c>
      <c r="M8" s="62">
        <f>M9</f>
        <v>0</v>
      </c>
      <c r="N8" s="62">
        <f>N9</f>
        <v>0</v>
      </c>
      <c r="O8" s="62">
        <f>O9</f>
        <v>676200</v>
      </c>
      <c r="P8" s="62">
        <f>P9</f>
        <v>676200</v>
      </c>
      <c r="Q8" s="62">
        <f>Q9</f>
        <v>676200</v>
      </c>
      <c r="R8" s="62">
        <f>R9</f>
        <v>0</v>
      </c>
    </row>
    <row r="9" spans="1:18" ht="15">
      <c r="A9" s="60"/>
      <c r="B9" s="63"/>
      <c r="C9" s="63">
        <v>6057</v>
      </c>
      <c r="D9" s="64" t="s">
        <v>270</v>
      </c>
      <c r="E9" s="65">
        <f>F9+P9</f>
        <v>676200</v>
      </c>
      <c r="F9" s="270">
        <f>G9+J9+K9+L9+M9+N9</f>
        <v>0</v>
      </c>
      <c r="G9" s="270">
        <f>H9+I9</f>
        <v>0</v>
      </c>
      <c r="H9" s="66"/>
      <c r="I9" s="66"/>
      <c r="J9" s="66"/>
      <c r="K9" s="66"/>
      <c r="L9" s="66"/>
      <c r="M9" s="66"/>
      <c r="N9" s="66"/>
      <c r="O9" s="66">
        <f>P9+R9</f>
        <v>676200</v>
      </c>
      <c r="P9" s="65">
        <f>Q9</f>
        <v>676200</v>
      </c>
      <c r="Q9" s="65">
        <f>'zał 7'!Q14</f>
        <v>676200</v>
      </c>
      <c r="R9" s="271"/>
    </row>
    <row r="10" spans="1:18" ht="15">
      <c r="A10" s="67">
        <v>600</v>
      </c>
      <c r="B10" s="67"/>
      <c r="C10" s="67"/>
      <c r="D10" s="50" t="s">
        <v>101</v>
      </c>
      <c r="E10" s="51">
        <f>E11</f>
        <v>1715413</v>
      </c>
      <c r="F10" s="51">
        <f>F11</f>
        <v>0</v>
      </c>
      <c r="G10" s="51"/>
      <c r="H10" s="51"/>
      <c r="I10" s="51"/>
      <c r="J10" s="51"/>
      <c r="K10" s="51"/>
      <c r="L10" s="51"/>
      <c r="M10" s="51"/>
      <c r="N10" s="51"/>
      <c r="O10" s="51">
        <f>O11</f>
        <v>1715413</v>
      </c>
      <c r="P10" s="51">
        <f>P11</f>
        <v>1715413</v>
      </c>
      <c r="Q10" s="51">
        <f>Q11</f>
        <v>1715413</v>
      </c>
      <c r="R10" s="51">
        <f>R11</f>
        <v>0</v>
      </c>
    </row>
    <row r="11" spans="1:18" ht="15">
      <c r="A11" s="68"/>
      <c r="B11" s="68">
        <v>60016</v>
      </c>
      <c r="C11" s="68"/>
      <c r="D11" s="69" t="s">
        <v>102</v>
      </c>
      <c r="E11" s="54">
        <f>E12</f>
        <v>1715413</v>
      </c>
      <c r="F11" s="54">
        <f>F12</f>
        <v>0</v>
      </c>
      <c r="G11" s="54"/>
      <c r="H11" s="54"/>
      <c r="I11" s="54"/>
      <c r="J11" s="54"/>
      <c r="K11" s="54"/>
      <c r="L11" s="54"/>
      <c r="M11" s="54"/>
      <c r="N11" s="54"/>
      <c r="O11" s="54">
        <f>O12</f>
        <v>1715413</v>
      </c>
      <c r="P11" s="54">
        <f>P12</f>
        <v>1715413</v>
      </c>
      <c r="Q11" s="54">
        <f>Q12</f>
        <v>1715413</v>
      </c>
      <c r="R11" s="54">
        <f>R12</f>
        <v>0</v>
      </c>
    </row>
    <row r="12" spans="1:18" ht="15">
      <c r="A12" s="68"/>
      <c r="B12" s="70"/>
      <c r="C12" s="63">
        <v>6057</v>
      </c>
      <c r="D12" s="64" t="s">
        <v>270</v>
      </c>
      <c r="E12" s="65">
        <f>F12+P12</f>
        <v>1715413</v>
      </c>
      <c r="F12" s="270">
        <f>G12+J12+K12+L12+M12+N12</f>
        <v>0</v>
      </c>
      <c r="G12" s="270">
        <f>H12+I12</f>
        <v>0</v>
      </c>
      <c r="H12" s="66"/>
      <c r="I12" s="66"/>
      <c r="J12" s="66"/>
      <c r="K12" s="66"/>
      <c r="L12" s="66"/>
      <c r="M12" s="66"/>
      <c r="N12" s="66"/>
      <c r="O12" s="66">
        <f>P12+R12</f>
        <v>1715413</v>
      </c>
      <c r="P12" s="65">
        <f>Q12</f>
        <v>1715413</v>
      </c>
      <c r="Q12" s="57">
        <f>'zał 7'!Q24</f>
        <v>1715413</v>
      </c>
      <c r="R12" s="57"/>
    </row>
    <row r="13" spans="1:18" ht="15">
      <c r="A13" s="67">
        <v>801</v>
      </c>
      <c r="B13" s="67"/>
      <c r="C13" s="67"/>
      <c r="D13" s="50" t="s">
        <v>180</v>
      </c>
      <c r="E13" s="51">
        <f>E32+E14+E34+E38</f>
        <v>800000</v>
      </c>
      <c r="F13" s="51">
        <f>F32+F14+F34+F38</f>
        <v>0</v>
      </c>
      <c r="G13" s="51"/>
      <c r="H13" s="51"/>
      <c r="I13" s="51"/>
      <c r="J13" s="51"/>
      <c r="K13" s="51"/>
      <c r="L13" s="51"/>
      <c r="M13" s="51"/>
      <c r="N13" s="51"/>
      <c r="O13" s="51">
        <f>O32+O14+O34+O38</f>
        <v>800000</v>
      </c>
      <c r="P13" s="51">
        <f>P32+P14+P34+P38</f>
        <v>800000</v>
      </c>
      <c r="Q13" s="51">
        <f>Q32+Q14+Q34+Q38</f>
        <v>800000</v>
      </c>
      <c r="R13" s="51">
        <f>R32+R14+R34+R38</f>
        <v>0</v>
      </c>
    </row>
    <row r="14" spans="1:18" ht="15">
      <c r="A14" s="68"/>
      <c r="B14" s="68">
        <v>80101</v>
      </c>
      <c r="C14" s="68"/>
      <c r="D14" s="69" t="s">
        <v>181</v>
      </c>
      <c r="E14" s="54">
        <f>E15</f>
        <v>800000</v>
      </c>
      <c r="F14" s="54">
        <f>F15</f>
        <v>0</v>
      </c>
      <c r="G14" s="54"/>
      <c r="H14" s="54"/>
      <c r="I14" s="54"/>
      <c r="J14" s="54"/>
      <c r="K14" s="54"/>
      <c r="L14" s="54"/>
      <c r="M14" s="54"/>
      <c r="N14" s="54"/>
      <c r="O14" s="54">
        <f>O15</f>
        <v>800000</v>
      </c>
      <c r="P14" s="54">
        <f>P15</f>
        <v>800000</v>
      </c>
      <c r="Q14" s="54">
        <f>Q15</f>
        <v>800000</v>
      </c>
      <c r="R14" s="54">
        <f>R15</f>
        <v>0</v>
      </c>
    </row>
    <row r="15" spans="1:18" ht="15">
      <c r="A15" s="68"/>
      <c r="B15" s="70"/>
      <c r="C15" s="63">
        <v>6057</v>
      </c>
      <c r="D15" s="64" t="s">
        <v>336</v>
      </c>
      <c r="E15" s="65">
        <f>F15+P15</f>
        <v>800000</v>
      </c>
      <c r="F15" s="270">
        <f>G15+J15+K15+L15+M15+N15</f>
        <v>0</v>
      </c>
      <c r="G15" s="270">
        <f>H15+I15</f>
        <v>0</v>
      </c>
      <c r="H15" s="57"/>
      <c r="I15" s="57"/>
      <c r="J15" s="57"/>
      <c r="K15" s="57"/>
      <c r="L15" s="57"/>
      <c r="M15" s="57"/>
      <c r="N15" s="57"/>
      <c r="O15" s="66">
        <f>P15+R15</f>
        <v>800000</v>
      </c>
      <c r="P15" s="65">
        <f>Q15</f>
        <v>800000</v>
      </c>
      <c r="Q15" s="57">
        <f>'zał 7'!Q133</f>
        <v>800000</v>
      </c>
      <c r="R15" s="57"/>
    </row>
    <row r="16" spans="1:18" s="272" customFormat="1" ht="15">
      <c r="A16" s="87"/>
      <c r="B16" s="87">
        <v>80195</v>
      </c>
      <c r="C16" s="87"/>
      <c r="D16" s="88" t="s">
        <v>95</v>
      </c>
      <c r="E16" s="90">
        <f>SUM(E17:E20)</f>
        <v>351600</v>
      </c>
      <c r="F16" s="90">
        <f>SUM(F17:F20)</f>
        <v>351600</v>
      </c>
      <c r="G16" s="90">
        <f>SUM(G17:G20)</f>
        <v>351600</v>
      </c>
      <c r="H16" s="90">
        <f>SUM(H17:H20)</f>
        <v>166800</v>
      </c>
      <c r="I16" s="90">
        <f>SUM(I17:I20)</f>
        <v>184800</v>
      </c>
      <c r="J16" s="90">
        <f>SUM(J17:J20)</f>
        <v>0</v>
      </c>
      <c r="K16" s="90">
        <f>SUM(K17:K20)</f>
        <v>0</v>
      </c>
      <c r="L16" s="90">
        <f>SUM(L17:L20)</f>
        <v>351600</v>
      </c>
      <c r="M16" s="90">
        <f>SUM(M17:M20)</f>
        <v>0</v>
      </c>
      <c r="N16" s="90">
        <f>SUM(N17:N20)</f>
        <v>0</v>
      </c>
      <c r="O16" s="90">
        <f>SUM(O17:O20)</f>
        <v>0</v>
      </c>
      <c r="P16" s="90">
        <f>SUM(P17:P20)</f>
        <v>0</v>
      </c>
      <c r="Q16" s="90">
        <f>SUM(Q17:Q20)</f>
        <v>0</v>
      </c>
      <c r="R16" s="90">
        <f>SUM(R17:R20)</f>
        <v>0</v>
      </c>
    </row>
    <row r="17" spans="1:18" ht="15">
      <c r="A17" s="68"/>
      <c r="B17" s="70"/>
      <c r="C17" s="63"/>
      <c r="D17" s="64"/>
      <c r="E17" s="65"/>
      <c r="F17" s="270"/>
      <c r="G17" s="270"/>
      <c r="H17" s="57"/>
      <c r="I17" s="57"/>
      <c r="J17" s="57"/>
      <c r="K17" s="57"/>
      <c r="L17" s="57"/>
      <c r="M17" s="57"/>
      <c r="N17" s="57"/>
      <c r="O17" s="66"/>
      <c r="P17" s="65"/>
      <c r="Q17" s="57"/>
      <c r="R17" s="57"/>
    </row>
    <row r="18" spans="1:18" ht="15">
      <c r="A18" s="68"/>
      <c r="B18" s="70"/>
      <c r="C18" s="63"/>
      <c r="D18" s="64"/>
      <c r="E18" s="65"/>
      <c r="F18" s="270"/>
      <c r="G18" s="270"/>
      <c r="H18" s="57"/>
      <c r="I18" s="57"/>
      <c r="J18" s="57"/>
      <c r="K18" s="57"/>
      <c r="L18" s="57"/>
      <c r="M18" s="57"/>
      <c r="N18" s="57"/>
      <c r="O18" s="66"/>
      <c r="P18" s="65"/>
      <c r="Q18" s="57"/>
      <c r="R18" s="57"/>
    </row>
    <row r="19" spans="1:18" ht="15">
      <c r="A19" s="273">
        <v>853</v>
      </c>
      <c r="B19" s="273"/>
      <c r="C19" s="273"/>
      <c r="D19" s="274" t="s">
        <v>210</v>
      </c>
      <c r="E19" s="275">
        <f>E20</f>
        <v>175800</v>
      </c>
      <c r="F19" s="275">
        <f>F20</f>
        <v>175800</v>
      </c>
      <c r="G19" s="275">
        <f>G20</f>
        <v>175800</v>
      </c>
      <c r="H19" s="275">
        <f>H20</f>
        <v>83400</v>
      </c>
      <c r="I19" s="275">
        <f>I20</f>
        <v>92400</v>
      </c>
      <c r="J19" s="275">
        <f>J20</f>
        <v>0</v>
      </c>
      <c r="K19" s="275">
        <f>K20</f>
        <v>0</v>
      </c>
      <c r="L19" s="275">
        <f>L20</f>
        <v>175800</v>
      </c>
      <c r="M19" s="275">
        <f>M20</f>
        <v>0</v>
      </c>
      <c r="N19" s="275">
        <f>N20</f>
        <v>0</v>
      </c>
      <c r="O19" s="275">
        <f>O20</f>
        <v>0</v>
      </c>
      <c r="P19" s="275">
        <f>P20</f>
        <v>0</v>
      </c>
      <c r="Q19" s="275">
        <f>Q20</f>
        <v>0</v>
      </c>
      <c r="R19" s="275">
        <f>R20</f>
        <v>0</v>
      </c>
    </row>
    <row r="20" spans="1:18" ht="15">
      <c r="A20" s="276"/>
      <c r="B20" s="277">
        <v>85395</v>
      </c>
      <c r="C20" s="277"/>
      <c r="D20" s="278" t="s">
        <v>95</v>
      </c>
      <c r="E20" s="279">
        <f>SUM(E21:E27)</f>
        <v>175800</v>
      </c>
      <c r="F20" s="279">
        <f>SUM(F21:F27)</f>
        <v>175800</v>
      </c>
      <c r="G20" s="279">
        <f>SUM(G21:G27)</f>
        <v>175800</v>
      </c>
      <c r="H20" s="279">
        <f>SUM(H21:H27)</f>
        <v>83400</v>
      </c>
      <c r="I20" s="279">
        <f>SUM(I21:I27)</f>
        <v>92400</v>
      </c>
      <c r="J20" s="279">
        <f>SUM(J21:J27)</f>
        <v>0</v>
      </c>
      <c r="K20" s="279">
        <f>SUM(K21:K27)</f>
        <v>0</v>
      </c>
      <c r="L20" s="279">
        <f>SUM(L21:L27)</f>
        <v>175800</v>
      </c>
      <c r="M20" s="279">
        <f>SUM(M21:M27)</f>
        <v>0</v>
      </c>
      <c r="N20" s="279">
        <f>SUM(N21:N27)</f>
        <v>0</v>
      </c>
      <c r="O20" s="279">
        <f>SUM(O21:O27)</f>
        <v>0</v>
      </c>
      <c r="P20" s="279">
        <f>SUM(P21:P27)</f>
        <v>0</v>
      </c>
      <c r="Q20" s="279">
        <f>SUM(Q21:Q27)</f>
        <v>0</v>
      </c>
      <c r="R20" s="279">
        <f>SUM(R21:R27)</f>
        <v>0</v>
      </c>
    </row>
    <row r="21" spans="1:18" ht="15">
      <c r="A21" s="276"/>
      <c r="B21" s="276"/>
      <c r="C21" s="276">
        <v>4017</v>
      </c>
      <c r="D21" s="280" t="s">
        <v>328</v>
      </c>
      <c r="E21" s="258">
        <f>F21+O21</f>
        <v>31650</v>
      </c>
      <c r="F21" s="258">
        <f>G21+K21+J21+N21+M21</f>
        <v>31650</v>
      </c>
      <c r="G21" s="258">
        <f>H21+I21</f>
        <v>31650</v>
      </c>
      <c r="H21" s="281">
        <f>'zał 7'!H295</f>
        <v>31650</v>
      </c>
      <c r="I21" s="281">
        <f>'zał 7'!I295</f>
        <v>0</v>
      </c>
      <c r="J21" s="281">
        <f>'zał 7'!J295</f>
        <v>0</v>
      </c>
      <c r="K21" s="281">
        <f>'zał 7'!K295</f>
        <v>0</v>
      </c>
      <c r="L21" s="281">
        <f>'zał 7'!L295</f>
        <v>31650</v>
      </c>
      <c r="M21" s="282"/>
      <c r="N21" s="283"/>
      <c r="O21" s="283"/>
      <c r="P21" s="283"/>
      <c r="Q21" s="283"/>
      <c r="R21" s="66"/>
    </row>
    <row r="22" spans="1:18" ht="15">
      <c r="A22" s="276"/>
      <c r="B22" s="276"/>
      <c r="C22" s="276">
        <v>4117</v>
      </c>
      <c r="D22" s="280" t="s">
        <v>347</v>
      </c>
      <c r="E22" s="258">
        <f>F22+O22</f>
        <v>9500</v>
      </c>
      <c r="F22" s="258">
        <f>G22+K22+J22+N22+M22</f>
        <v>9500</v>
      </c>
      <c r="G22" s="258">
        <f>H22+I22</f>
        <v>9500</v>
      </c>
      <c r="H22" s="281">
        <f>'zał 7'!H297</f>
        <v>9500</v>
      </c>
      <c r="I22" s="281">
        <f>'zał 7'!I297</f>
        <v>0</v>
      </c>
      <c r="J22" s="281">
        <f>'zał 7'!J297</f>
        <v>0</v>
      </c>
      <c r="K22" s="281">
        <f>'zał 7'!K297</f>
        <v>0</v>
      </c>
      <c r="L22" s="281">
        <f>'zał 7'!L297</f>
        <v>9500</v>
      </c>
      <c r="M22" s="282"/>
      <c r="N22" s="284"/>
      <c r="O22" s="284"/>
      <c r="P22" s="284"/>
      <c r="Q22" s="284"/>
      <c r="R22" s="66"/>
    </row>
    <row r="23" spans="1:18" ht="15">
      <c r="A23" s="276"/>
      <c r="B23" s="276"/>
      <c r="C23" s="276">
        <v>4127</v>
      </c>
      <c r="D23" s="280" t="s">
        <v>348</v>
      </c>
      <c r="E23" s="258">
        <f>F23+O23</f>
        <v>1250</v>
      </c>
      <c r="F23" s="258">
        <f>G23+K23+J23+N23+M23</f>
        <v>1250</v>
      </c>
      <c r="G23" s="258">
        <f>H23+I23</f>
        <v>1250</v>
      </c>
      <c r="H23" s="281">
        <f>'zał 7'!H299</f>
        <v>1250</v>
      </c>
      <c r="I23" s="281">
        <f>'zał 7'!I299</f>
        <v>0</v>
      </c>
      <c r="J23" s="281">
        <f>'zał 7'!J299</f>
        <v>0</v>
      </c>
      <c r="K23" s="281">
        <f>'zał 7'!K299</f>
        <v>0</v>
      </c>
      <c r="L23" s="281">
        <f>'zał 7'!L299</f>
        <v>1250</v>
      </c>
      <c r="M23" s="282"/>
      <c r="N23" s="285"/>
      <c r="O23" s="285"/>
      <c r="P23" s="285"/>
      <c r="Q23" s="285"/>
      <c r="R23" s="66"/>
    </row>
    <row r="24" spans="1:18" ht="15">
      <c r="A24" s="276"/>
      <c r="B24" s="276"/>
      <c r="C24" s="276">
        <v>4177</v>
      </c>
      <c r="D24" s="280" t="s">
        <v>388</v>
      </c>
      <c r="E24" s="258">
        <f>F24+O24</f>
        <v>26000</v>
      </c>
      <c r="F24" s="258">
        <f>G24+K24+J24+N24+M24</f>
        <v>26000</v>
      </c>
      <c r="G24" s="258">
        <f>H24+I24</f>
        <v>26000</v>
      </c>
      <c r="H24" s="281">
        <f>'zał 7'!H301</f>
        <v>26000</v>
      </c>
      <c r="I24" s="281">
        <f>'zał 7'!I301</f>
        <v>0</v>
      </c>
      <c r="J24" s="281">
        <f>'zał 7'!J301</f>
        <v>0</v>
      </c>
      <c r="K24" s="281">
        <f>'zał 7'!K301</f>
        <v>0</v>
      </c>
      <c r="L24" s="281">
        <f>'zał 7'!L301</f>
        <v>26000</v>
      </c>
      <c r="M24" s="282"/>
      <c r="N24" s="284"/>
      <c r="O24" s="284"/>
      <c r="P24" s="284"/>
      <c r="Q24" s="284"/>
      <c r="R24" s="66"/>
    </row>
    <row r="25" spans="1:18" ht="15">
      <c r="A25" s="276"/>
      <c r="B25" s="276"/>
      <c r="C25" s="276">
        <v>4217</v>
      </c>
      <c r="D25" s="280" t="s">
        <v>339</v>
      </c>
      <c r="E25" s="258">
        <f>F25+O25</f>
        <v>15000</v>
      </c>
      <c r="F25" s="258">
        <f>G25+K25+J25+N25+M25</f>
        <v>15000</v>
      </c>
      <c r="G25" s="258">
        <f>H25+I25</f>
        <v>15000</v>
      </c>
      <c r="H25" s="281">
        <f>'zał 7'!H303</f>
        <v>15000</v>
      </c>
      <c r="I25" s="281">
        <f>'zał 7'!I303</f>
        <v>0</v>
      </c>
      <c r="J25" s="281">
        <f>'zał 7'!J303</f>
        <v>0</v>
      </c>
      <c r="K25" s="281">
        <f>'zał 7'!K303</f>
        <v>0</v>
      </c>
      <c r="L25" s="281">
        <f>'zał 7'!L303</f>
        <v>15000</v>
      </c>
      <c r="M25" s="282"/>
      <c r="N25" s="284"/>
      <c r="O25" s="284"/>
      <c r="P25" s="284"/>
      <c r="Q25" s="284"/>
      <c r="R25" s="66"/>
    </row>
    <row r="26" spans="1:18" ht="15">
      <c r="A26" s="276"/>
      <c r="B26" s="276"/>
      <c r="C26" s="276">
        <v>4307</v>
      </c>
      <c r="D26" s="280" t="s">
        <v>350</v>
      </c>
      <c r="E26" s="258">
        <f>F26+O26</f>
        <v>92000</v>
      </c>
      <c r="F26" s="258">
        <f>G26+K26+J26+N26+M26</f>
        <v>92000</v>
      </c>
      <c r="G26" s="258">
        <f>H26+I26</f>
        <v>92000</v>
      </c>
      <c r="H26" s="282"/>
      <c r="I26" s="281">
        <f>'zał 7'!I305</f>
        <v>92000</v>
      </c>
      <c r="J26" s="281">
        <f>'zał 7'!J305</f>
        <v>0</v>
      </c>
      <c r="K26" s="281">
        <f>'zał 7'!K305</f>
        <v>0</v>
      </c>
      <c r="L26" s="281">
        <f>'zał 7'!L305</f>
        <v>92000</v>
      </c>
      <c r="M26" s="282"/>
      <c r="N26" s="284"/>
      <c r="O26" s="284"/>
      <c r="P26" s="284"/>
      <c r="Q26" s="284"/>
      <c r="R26" s="66"/>
    </row>
    <row r="27" spans="1:18" ht="15">
      <c r="A27" s="276"/>
      <c r="B27" s="276"/>
      <c r="C27" s="276">
        <v>4417</v>
      </c>
      <c r="D27" s="280" t="s">
        <v>353</v>
      </c>
      <c r="E27" s="258">
        <f>F27+O27</f>
        <v>400</v>
      </c>
      <c r="F27" s="258">
        <f>G27+K27+J27+N27+M27</f>
        <v>400</v>
      </c>
      <c r="G27" s="258">
        <f>H27+I27</f>
        <v>400</v>
      </c>
      <c r="H27" s="282"/>
      <c r="I27" s="281">
        <f>'zał 7'!I307</f>
        <v>400</v>
      </c>
      <c r="J27" s="281">
        <f>'zał 7'!J307</f>
        <v>0</v>
      </c>
      <c r="K27" s="281">
        <f>'zał 7'!K307</f>
        <v>0</v>
      </c>
      <c r="L27" s="281">
        <f>'zał 7'!L307</f>
        <v>400</v>
      </c>
      <c r="M27" s="282"/>
      <c r="N27" s="284"/>
      <c r="O27" s="284"/>
      <c r="P27" s="284"/>
      <c r="Q27" s="284"/>
      <c r="R27" s="66"/>
    </row>
    <row r="28" spans="1:18" ht="15">
      <c r="A28" s="67">
        <v>926</v>
      </c>
      <c r="B28" s="67"/>
      <c r="C28" s="67"/>
      <c r="D28" s="112" t="s">
        <v>223</v>
      </c>
      <c r="E28" s="51">
        <f>E35+E29+E37+E41</f>
        <v>1100000</v>
      </c>
      <c r="F28" s="51">
        <f>F35+F29+F37+F41</f>
        <v>0</v>
      </c>
      <c r="G28" s="51"/>
      <c r="H28" s="51"/>
      <c r="I28" s="51"/>
      <c r="J28" s="51"/>
      <c r="K28" s="51"/>
      <c r="L28" s="51"/>
      <c r="M28" s="51"/>
      <c r="N28" s="51"/>
      <c r="O28" s="51">
        <f>O35+O29+O37+O41</f>
        <v>1100000</v>
      </c>
      <c r="P28" s="51">
        <f>P35+P29+P37+P41</f>
        <v>1100000</v>
      </c>
      <c r="Q28" s="51">
        <f>Q35+Q29+Q37+Q41</f>
        <v>1100000</v>
      </c>
      <c r="R28" s="51">
        <f>R35+R29+R37+R41</f>
        <v>0</v>
      </c>
    </row>
    <row r="29" spans="1:18" ht="15">
      <c r="A29" s="68"/>
      <c r="B29" s="68">
        <v>92601</v>
      </c>
      <c r="C29" s="68"/>
      <c r="D29" s="69" t="s">
        <v>224</v>
      </c>
      <c r="E29" s="54">
        <f>E30</f>
        <v>1100000</v>
      </c>
      <c r="F29" s="54">
        <f>F30</f>
        <v>0</v>
      </c>
      <c r="G29" s="54"/>
      <c r="H29" s="54"/>
      <c r="I29" s="54"/>
      <c r="J29" s="54"/>
      <c r="K29" s="54"/>
      <c r="L29" s="54"/>
      <c r="M29" s="54"/>
      <c r="N29" s="54"/>
      <c r="O29" s="54">
        <f>O30</f>
        <v>1100000</v>
      </c>
      <c r="P29" s="54">
        <f>P30</f>
        <v>1100000</v>
      </c>
      <c r="Q29" s="54">
        <f>Q30</f>
        <v>1100000</v>
      </c>
      <c r="R29" s="54">
        <f>R30</f>
        <v>0</v>
      </c>
    </row>
    <row r="30" spans="1:18" ht="15">
      <c r="A30" s="68"/>
      <c r="B30" s="70"/>
      <c r="C30" s="63">
        <v>6057</v>
      </c>
      <c r="D30" s="64" t="s">
        <v>336</v>
      </c>
      <c r="E30" s="65">
        <f>F30+P30</f>
        <v>1100000</v>
      </c>
      <c r="F30" s="270">
        <f>G30+J30+K30+L30+M30+N30</f>
        <v>0</v>
      </c>
      <c r="G30" s="270">
        <f>H30+I30</f>
        <v>0</v>
      </c>
      <c r="H30" s="57"/>
      <c r="I30" s="57"/>
      <c r="J30" s="57"/>
      <c r="K30" s="57"/>
      <c r="L30" s="57"/>
      <c r="M30" s="57"/>
      <c r="N30" s="57"/>
      <c r="O30" s="66">
        <f>P30+R30</f>
        <v>1100000</v>
      </c>
      <c r="P30" s="65">
        <f>Q30</f>
        <v>1100000</v>
      </c>
      <c r="Q30" s="57">
        <f>'zał 7'!Q359</f>
        <v>1100000</v>
      </c>
      <c r="R30" s="57"/>
    </row>
    <row r="31" spans="1:18" ht="15" customHeight="1">
      <c r="A31" s="114" t="s">
        <v>228</v>
      </c>
      <c r="B31" s="114"/>
      <c r="C31" s="114"/>
      <c r="D31" s="114"/>
      <c r="E31" s="62">
        <f>E10+E13+E7+E28+E19</f>
        <v>4467413</v>
      </c>
      <c r="F31" s="62">
        <f>F10+F13+F7+F28+F19</f>
        <v>175800</v>
      </c>
      <c r="G31" s="62">
        <f>G10+G13+G7+G28+G19</f>
        <v>175800</v>
      </c>
      <c r="H31" s="62">
        <f>H10+H13+H7+H28+H19</f>
        <v>83400</v>
      </c>
      <c r="I31" s="62">
        <f>I10+I13+I7+I28+I19</f>
        <v>92400</v>
      </c>
      <c r="J31" s="62">
        <f>J10+J13+J7+J28+J19</f>
        <v>0</v>
      </c>
      <c r="K31" s="62">
        <f>K10+K13+K7+K28+K19</f>
        <v>0</v>
      </c>
      <c r="L31" s="62">
        <f>L10+L13+L7+L28+L19</f>
        <v>175800</v>
      </c>
      <c r="M31" s="62">
        <f>M10+M13+M7+M28+M19</f>
        <v>0</v>
      </c>
      <c r="N31" s="62">
        <f>N10+N13+N7+N28+N19</f>
        <v>0</v>
      </c>
      <c r="O31" s="62">
        <f>O10+O13+O7+O28+O19</f>
        <v>4291613</v>
      </c>
      <c r="P31" s="62">
        <f>P10+P13+P7+P28+P19</f>
        <v>4291613</v>
      </c>
      <c r="Q31" s="62">
        <f>Q10+Q13+Q7+Q28+Q19</f>
        <v>4291613</v>
      </c>
      <c r="R31" s="62">
        <f>R10+R13+R7+R28+R19</f>
        <v>0</v>
      </c>
    </row>
  </sheetData>
  <mergeCells count="21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31:D31"/>
  </mergeCells>
  <printOptions horizontalCentered="1"/>
  <pageMargins left="0.5902777777777778" right="0.5902777777777778" top="1.15" bottom="0.7555555555555555" header="0.7868055555555555" footer="0.5902777777777778"/>
  <pageSetup horizontalDpi="300" verticalDpi="300" orientation="landscape" paperSize="9" scale="57"/>
  <headerFooter alignWithMargins="0">
    <oddHeader>&amp;R&amp;"Times New Roman,Normalny"&amp;12Załącznik Nr 10 do projektu uchwały Nr .. Rady Miejskiej w Barlinku z dnia ........grudnia 2010</oddHeader>
    <oddFooter>&amp;C&amp;"Times New Roman,Normalny"&amp;12Strona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5"/>
  <sheetViews>
    <sheetView showGridLines="0" defaultGridColor="0" view="pageBreakPreview" zoomScaleSheetLayoutView="100" colorId="15" workbookViewId="0" topLeftCell="A1">
      <pane ySplit="4" topLeftCell="A23" activePane="bottomLeft" state="frozen"/>
      <selection pane="topLeft" activeCell="A1" sqref="A1"/>
      <selection pane="bottomLeft" activeCell="K13" sqref="K13"/>
    </sheetView>
  </sheetViews>
  <sheetFormatPr defaultColWidth="12.00390625" defaultRowHeight="12.75"/>
  <cols>
    <col min="1" max="1" width="6.75390625" style="38" customWidth="1"/>
    <col min="2" max="2" width="7.375" style="38" customWidth="1"/>
    <col min="3" max="3" width="6.25390625" style="38" customWidth="1"/>
    <col min="4" max="4" width="67.125" style="40" customWidth="1"/>
    <col min="5" max="5" width="16.625" style="115" customWidth="1"/>
    <col min="6" max="16384" width="11.75390625" style="38" customWidth="1"/>
  </cols>
  <sheetData>
    <row r="1" spans="1:5" s="79" customFormat="1" ht="15" customHeight="1">
      <c r="A1" s="286" t="s">
        <v>430</v>
      </c>
      <c r="B1" s="286"/>
      <c r="C1" s="286"/>
      <c r="D1" s="286"/>
      <c r="E1" s="286"/>
    </row>
    <row r="2" spans="1:5" s="288" customFormat="1" ht="15" customHeight="1">
      <c r="A2" s="287" t="s">
        <v>66</v>
      </c>
      <c r="B2" s="42" t="s">
        <v>86</v>
      </c>
      <c r="C2" s="42" t="s">
        <v>87</v>
      </c>
      <c r="D2" s="42" t="s">
        <v>431</v>
      </c>
      <c r="E2" s="42" t="s">
        <v>432</v>
      </c>
    </row>
    <row r="3" spans="1:5" s="288" customFormat="1" ht="12.75">
      <c r="A3" s="287"/>
      <c r="B3" s="42"/>
      <c r="C3" s="42"/>
      <c r="D3" s="42"/>
      <c r="E3" s="42"/>
    </row>
    <row r="4" spans="1:5" s="288" customFormat="1" ht="12.75">
      <c r="A4" s="289" t="s">
        <v>412</v>
      </c>
      <c r="B4" s="290">
        <v>2</v>
      </c>
      <c r="C4" s="290">
        <v>3</v>
      </c>
      <c r="D4" s="290">
        <v>4</v>
      </c>
      <c r="E4" s="290">
        <v>5</v>
      </c>
    </row>
    <row r="5" spans="1:5" ht="15">
      <c r="A5" s="67">
        <v>400</v>
      </c>
      <c r="B5" s="67"/>
      <c r="C5" s="67"/>
      <c r="D5" s="50" t="s">
        <v>98</v>
      </c>
      <c r="E5" s="51">
        <f>SUM(E6)</f>
        <v>1328000</v>
      </c>
    </row>
    <row r="6" spans="1:5" s="79" customFormat="1" ht="15">
      <c r="A6" s="68"/>
      <c r="B6" s="68">
        <v>40002</v>
      </c>
      <c r="C6" s="68"/>
      <c r="D6" s="61" t="s">
        <v>99</v>
      </c>
      <c r="E6" s="54">
        <f>E7+E10+E12</f>
        <v>1328000</v>
      </c>
    </row>
    <row r="7" spans="1:5" ht="15">
      <c r="A7" s="68"/>
      <c r="B7" s="70"/>
      <c r="C7" s="70">
        <v>6050</v>
      </c>
      <c r="D7" s="64" t="s">
        <v>270</v>
      </c>
      <c r="E7" s="57">
        <f>SUM(E8:E9)</f>
        <v>178000</v>
      </c>
    </row>
    <row r="8" spans="1:5" ht="15">
      <c r="A8" s="68"/>
      <c r="B8" s="70"/>
      <c r="C8" s="70"/>
      <c r="D8" s="64" t="s">
        <v>433</v>
      </c>
      <c r="E8" s="57">
        <v>95000</v>
      </c>
    </row>
    <row r="9" spans="1:5" ht="29.25">
      <c r="A9" s="68"/>
      <c r="B9" s="70"/>
      <c r="C9" s="70"/>
      <c r="D9" s="64" t="s">
        <v>434</v>
      </c>
      <c r="E9" s="57">
        <v>83000</v>
      </c>
    </row>
    <row r="10" spans="1:5" ht="15">
      <c r="A10" s="68"/>
      <c r="B10" s="70"/>
      <c r="C10" s="70">
        <v>6057</v>
      </c>
      <c r="D10" s="64" t="s">
        <v>270</v>
      </c>
      <c r="E10" s="57">
        <f>SUM(E11:E11)</f>
        <v>676200</v>
      </c>
    </row>
    <row r="11" spans="1:5" ht="15">
      <c r="A11" s="68"/>
      <c r="B11" s="70"/>
      <c r="C11" s="70"/>
      <c r="D11" s="64" t="s">
        <v>435</v>
      </c>
      <c r="E11" s="57">
        <f>'zał 2'!I11</f>
        <v>676200</v>
      </c>
    </row>
    <row r="12" spans="1:5" ht="15">
      <c r="A12" s="68"/>
      <c r="B12" s="70"/>
      <c r="C12" s="70">
        <v>6059</v>
      </c>
      <c r="D12" s="64" t="s">
        <v>270</v>
      </c>
      <c r="E12" s="57">
        <f>SUM(E13:E13)</f>
        <v>473800</v>
      </c>
    </row>
    <row r="13" spans="1:5" ht="15">
      <c r="A13" s="68"/>
      <c r="B13" s="70"/>
      <c r="C13" s="70"/>
      <c r="D13" s="64" t="s">
        <v>435</v>
      </c>
      <c r="E13" s="57">
        <f>1150000-E11</f>
        <v>473800</v>
      </c>
    </row>
    <row r="14" spans="1:5" ht="15">
      <c r="A14" s="67">
        <v>600</v>
      </c>
      <c r="B14" s="67"/>
      <c r="C14" s="67"/>
      <c r="D14" s="50" t="s">
        <v>101</v>
      </c>
      <c r="E14" s="51">
        <f>E15+E18</f>
        <v>4439713</v>
      </c>
    </row>
    <row r="15" spans="1:5" ht="15">
      <c r="A15" s="68"/>
      <c r="B15" s="68">
        <v>60013</v>
      </c>
      <c r="C15" s="68"/>
      <c r="D15" s="69" t="s">
        <v>271</v>
      </c>
      <c r="E15" s="263">
        <f>E16</f>
        <v>1666200</v>
      </c>
    </row>
    <row r="16" spans="1:5" ht="43.5">
      <c r="A16" s="68"/>
      <c r="B16" s="70"/>
      <c r="C16" s="259">
        <v>6630</v>
      </c>
      <c r="D16" s="265" t="s">
        <v>272</v>
      </c>
      <c r="E16" s="82">
        <f>E17</f>
        <v>1666200</v>
      </c>
    </row>
    <row r="17" spans="1:5" ht="15">
      <c r="A17" s="68"/>
      <c r="B17" s="70"/>
      <c r="C17" s="259"/>
      <c r="D17" s="64" t="s">
        <v>436</v>
      </c>
      <c r="E17" s="57">
        <v>1666200</v>
      </c>
    </row>
    <row r="18" spans="1:5" s="79" customFormat="1" ht="15">
      <c r="A18" s="68"/>
      <c r="B18" s="68">
        <v>60016</v>
      </c>
      <c r="C18" s="68"/>
      <c r="D18" s="69" t="s">
        <v>102</v>
      </c>
      <c r="E18" s="54">
        <f>E21+E23+E19</f>
        <v>2773513</v>
      </c>
    </row>
    <row r="19" spans="1:5" s="79" customFormat="1" ht="15">
      <c r="A19" s="68"/>
      <c r="B19" s="68"/>
      <c r="C19" s="70">
        <v>6050</v>
      </c>
      <c r="D19" s="64" t="s">
        <v>437</v>
      </c>
      <c r="E19" s="57">
        <f>SUM(E20:E20)</f>
        <v>386000</v>
      </c>
    </row>
    <row r="20" spans="1:5" s="79" customFormat="1" ht="15">
      <c r="A20" s="68"/>
      <c r="B20" s="68"/>
      <c r="C20" s="259"/>
      <c r="D20" s="64" t="s">
        <v>438</v>
      </c>
      <c r="E20" s="57">
        <v>386000</v>
      </c>
    </row>
    <row r="21" spans="1:5" ht="15">
      <c r="A21" s="68"/>
      <c r="B21" s="70"/>
      <c r="C21" s="70">
        <v>6057</v>
      </c>
      <c r="D21" s="64" t="s">
        <v>437</v>
      </c>
      <c r="E21" s="57">
        <f>SUM(E22:E22)</f>
        <v>1715413</v>
      </c>
    </row>
    <row r="22" spans="1:5" ht="15">
      <c r="A22" s="68"/>
      <c r="B22" s="70"/>
      <c r="C22" s="259"/>
      <c r="D22" s="64" t="s">
        <v>439</v>
      </c>
      <c r="E22" s="57">
        <f>'zał 2'!I14</f>
        <v>1715413</v>
      </c>
    </row>
    <row r="23" spans="1:5" ht="15">
      <c r="A23" s="68"/>
      <c r="B23" s="70"/>
      <c r="C23" s="70">
        <v>6059</v>
      </c>
      <c r="D23" s="64" t="s">
        <v>437</v>
      </c>
      <c r="E23" s="57">
        <f>SUM(E24:E24)</f>
        <v>672100</v>
      </c>
    </row>
    <row r="24" spans="1:5" ht="15">
      <c r="A24" s="68"/>
      <c r="B24" s="70"/>
      <c r="C24" s="259"/>
      <c r="D24" s="64" t="s">
        <v>439</v>
      </c>
      <c r="E24" s="57">
        <f>2387513-E22</f>
        <v>672100</v>
      </c>
    </row>
    <row r="25" spans="1:5" ht="29.25">
      <c r="A25" s="67">
        <v>754</v>
      </c>
      <c r="B25" s="67"/>
      <c r="C25" s="67"/>
      <c r="D25" s="50" t="s">
        <v>440</v>
      </c>
      <c r="E25" s="51">
        <f>SUM(E26)</f>
        <v>700000</v>
      </c>
    </row>
    <row r="26" spans="1:5" ht="15">
      <c r="A26" s="68"/>
      <c r="B26" s="68">
        <v>75412</v>
      </c>
      <c r="C26" s="68"/>
      <c r="D26" s="69" t="s">
        <v>310</v>
      </c>
      <c r="E26" s="54">
        <f>SUM(E27)</f>
        <v>700000</v>
      </c>
    </row>
    <row r="27" spans="1:5" ht="15">
      <c r="A27" s="68"/>
      <c r="B27" s="70"/>
      <c r="C27" s="70">
        <v>6050</v>
      </c>
      <c r="D27" s="64" t="s">
        <v>270</v>
      </c>
      <c r="E27" s="57">
        <f>SUM(E28)</f>
        <v>700000</v>
      </c>
    </row>
    <row r="28" spans="1:5" ht="29.25">
      <c r="A28" s="68"/>
      <c r="B28" s="70"/>
      <c r="C28" s="70"/>
      <c r="D28" s="64" t="s">
        <v>441</v>
      </c>
      <c r="E28" s="57">
        <v>700000</v>
      </c>
    </row>
    <row r="29" spans="1:5" ht="15">
      <c r="A29" s="67">
        <v>801</v>
      </c>
      <c r="B29" s="67"/>
      <c r="C29" s="67"/>
      <c r="D29" s="50" t="s">
        <v>180</v>
      </c>
      <c r="E29" s="51">
        <f>E30</f>
        <v>800000</v>
      </c>
    </row>
    <row r="30" spans="1:5" ht="15">
      <c r="A30" s="60"/>
      <c r="B30" s="60">
        <v>80101</v>
      </c>
      <c r="C30" s="60"/>
      <c r="D30" s="69" t="s">
        <v>181</v>
      </c>
      <c r="E30" s="62">
        <f>E31</f>
        <v>800000</v>
      </c>
    </row>
    <row r="31" spans="1:5" ht="15">
      <c r="A31" s="291"/>
      <c r="B31" s="291"/>
      <c r="C31" s="70">
        <v>6057</v>
      </c>
      <c r="D31" s="64" t="s">
        <v>336</v>
      </c>
      <c r="E31" s="57">
        <f>SUM(E32:E32)</f>
        <v>800000</v>
      </c>
    </row>
    <row r="32" spans="1:5" ht="15">
      <c r="A32" s="291"/>
      <c r="B32" s="291"/>
      <c r="C32" s="292"/>
      <c r="D32" s="293" t="s">
        <v>442</v>
      </c>
      <c r="E32" s="294">
        <v>800000</v>
      </c>
    </row>
    <row r="33" spans="1:5" ht="15">
      <c r="A33" s="273">
        <v>803</v>
      </c>
      <c r="B33" s="273"/>
      <c r="C33" s="273"/>
      <c r="D33" s="274" t="s">
        <v>366</v>
      </c>
      <c r="E33" s="51">
        <f>E34</f>
        <v>10000</v>
      </c>
    </row>
    <row r="34" spans="1:5" ht="15">
      <c r="A34" s="295"/>
      <c r="B34" s="296">
        <v>80395</v>
      </c>
      <c r="C34" s="297"/>
      <c r="D34" s="298" t="s">
        <v>95</v>
      </c>
      <c r="E34" s="62">
        <f>E35</f>
        <v>10000</v>
      </c>
    </row>
    <row r="35" spans="1:5" ht="43.5">
      <c r="A35" s="299"/>
      <c r="B35" s="299"/>
      <c r="C35" s="300">
        <v>6630</v>
      </c>
      <c r="D35" s="301" t="s">
        <v>272</v>
      </c>
      <c r="E35" s="57">
        <f>SUM(E36:E36)</f>
        <v>10000</v>
      </c>
    </row>
    <row r="36" spans="1:5" ht="15">
      <c r="A36" s="291"/>
      <c r="B36" s="291"/>
      <c r="C36" s="292"/>
      <c r="D36" s="293" t="s">
        <v>443</v>
      </c>
      <c r="E36" s="294">
        <v>10000</v>
      </c>
    </row>
    <row r="37" spans="1:5" ht="15">
      <c r="A37" s="67">
        <v>900</v>
      </c>
      <c r="B37" s="67"/>
      <c r="C37" s="67"/>
      <c r="D37" s="50" t="s">
        <v>392</v>
      </c>
      <c r="E37" s="51">
        <f>E38</f>
        <v>75000</v>
      </c>
    </row>
    <row r="38" spans="1:5" ht="15">
      <c r="A38" s="68"/>
      <c r="B38" s="68">
        <v>90001</v>
      </c>
      <c r="C38" s="68"/>
      <c r="D38" s="69" t="s">
        <v>393</v>
      </c>
      <c r="E38" s="54">
        <f>E39</f>
        <v>75000</v>
      </c>
    </row>
    <row r="39" spans="1:5" s="79" customFormat="1" ht="15">
      <c r="A39" s="68"/>
      <c r="B39" s="70"/>
      <c r="C39" s="70">
        <v>6050</v>
      </c>
      <c r="D39" s="64" t="s">
        <v>336</v>
      </c>
      <c r="E39" s="57">
        <f>E40</f>
        <v>75000</v>
      </c>
    </row>
    <row r="40" spans="1:5" ht="29.25">
      <c r="A40" s="68"/>
      <c r="B40" s="70"/>
      <c r="C40" s="70"/>
      <c r="D40" s="64" t="s">
        <v>444</v>
      </c>
      <c r="E40" s="57">
        <v>75000</v>
      </c>
    </row>
    <row r="41" spans="1:5" s="79" customFormat="1" ht="15">
      <c r="A41" s="67">
        <v>926</v>
      </c>
      <c r="B41" s="67"/>
      <c r="C41" s="67"/>
      <c r="D41" s="112" t="s">
        <v>223</v>
      </c>
      <c r="E41" s="51">
        <f>E42</f>
        <v>4900000</v>
      </c>
    </row>
    <row r="42" spans="1:5" s="79" customFormat="1" ht="15">
      <c r="A42" s="68"/>
      <c r="B42" s="68">
        <v>92601</v>
      </c>
      <c r="C42" s="68"/>
      <c r="D42" s="69" t="s">
        <v>224</v>
      </c>
      <c r="E42" s="54">
        <f>E45+E43</f>
        <v>4900000</v>
      </c>
    </row>
    <row r="43" spans="1:5" s="79" customFormat="1" ht="15">
      <c r="A43" s="68"/>
      <c r="B43" s="68"/>
      <c r="C43" s="70">
        <v>6057</v>
      </c>
      <c r="D43" s="64" t="s">
        <v>270</v>
      </c>
      <c r="E43" s="57">
        <f>E44</f>
        <v>1100000</v>
      </c>
    </row>
    <row r="44" spans="1:5" s="79" customFormat="1" ht="29.25">
      <c r="A44" s="68"/>
      <c r="B44" s="68"/>
      <c r="C44" s="70"/>
      <c r="D44" s="64" t="s">
        <v>445</v>
      </c>
      <c r="E44" s="57">
        <f>'zał 2'!I134</f>
        <v>1100000</v>
      </c>
    </row>
    <row r="45" spans="1:5" ht="15">
      <c r="A45" s="68"/>
      <c r="B45" s="70"/>
      <c r="C45" s="70">
        <v>6059</v>
      </c>
      <c r="D45" s="64" t="s">
        <v>270</v>
      </c>
      <c r="E45" s="57">
        <f>E46</f>
        <v>3800000</v>
      </c>
    </row>
    <row r="46" spans="1:5" ht="29.25">
      <c r="A46" s="68"/>
      <c r="B46" s="70"/>
      <c r="C46" s="70"/>
      <c r="D46" s="64" t="s">
        <v>445</v>
      </c>
      <c r="E46" s="57">
        <f>4900000-E44</f>
        <v>3800000</v>
      </c>
    </row>
    <row r="47" spans="1:5" ht="15" customHeight="1">
      <c r="A47" s="128" t="s">
        <v>228</v>
      </c>
      <c r="B47" s="128"/>
      <c r="C47" s="128"/>
      <c r="D47" s="128"/>
      <c r="E47" s="302">
        <f>E41+E37+E29+E14+E5+E33+E25</f>
        <v>12252713</v>
      </c>
    </row>
    <row r="48" ht="15">
      <c r="E48" s="303"/>
    </row>
    <row r="49" ht="15">
      <c r="E49" s="303"/>
    </row>
    <row r="50" ht="15">
      <c r="E50" s="303"/>
    </row>
    <row r="51" ht="15">
      <c r="E51" s="303"/>
    </row>
    <row r="52" ht="15">
      <c r="E52" s="303"/>
    </row>
    <row r="53" ht="15">
      <c r="E53" s="303"/>
    </row>
    <row r="54" ht="15">
      <c r="E54" s="303"/>
    </row>
    <row r="55" ht="15">
      <c r="E55" s="303"/>
    </row>
    <row r="56" ht="15">
      <c r="E56" s="303"/>
    </row>
    <row r="57" ht="15">
      <c r="E57" s="303"/>
    </row>
    <row r="58" ht="15">
      <c r="E58" s="303"/>
    </row>
    <row r="59" ht="15">
      <c r="E59" s="303"/>
    </row>
    <row r="60" ht="15">
      <c r="E60" s="303"/>
    </row>
    <row r="61" ht="15">
      <c r="E61" s="303"/>
    </row>
    <row r="62" ht="15">
      <c r="E62" s="303"/>
    </row>
    <row r="63" ht="15">
      <c r="E63" s="303"/>
    </row>
    <row r="64" ht="15">
      <c r="E64" s="303"/>
    </row>
    <row r="65" ht="15">
      <c r="E65" s="303"/>
    </row>
    <row r="66" ht="15">
      <c r="E66" s="303"/>
    </row>
    <row r="67" ht="15">
      <c r="E67" s="303"/>
    </row>
    <row r="68" ht="15">
      <c r="E68" s="303"/>
    </row>
    <row r="69" ht="15">
      <c r="E69" s="303"/>
    </row>
    <row r="70" ht="15">
      <c r="E70" s="303"/>
    </row>
    <row r="71" ht="15">
      <c r="E71" s="303"/>
    </row>
    <row r="72" ht="15">
      <c r="E72" s="303"/>
    </row>
    <row r="73" ht="15">
      <c r="E73" s="303"/>
    </row>
    <row r="74" ht="15">
      <c r="E74" s="303"/>
    </row>
    <row r="75" ht="15">
      <c r="E75" s="303"/>
    </row>
    <row r="76" ht="15">
      <c r="E76" s="303"/>
    </row>
    <row r="77" ht="15">
      <c r="E77" s="303"/>
    </row>
    <row r="78" ht="15">
      <c r="E78" s="303"/>
    </row>
    <row r="79" ht="15">
      <c r="E79" s="303"/>
    </row>
    <row r="80" ht="15">
      <c r="E80" s="303"/>
    </row>
    <row r="81" ht="15">
      <c r="E81" s="303"/>
    </row>
    <row r="82" ht="15">
      <c r="E82" s="303"/>
    </row>
    <row r="83" ht="15">
      <c r="E83" s="303"/>
    </row>
    <row r="84" ht="15">
      <c r="E84" s="303"/>
    </row>
    <row r="85" ht="15">
      <c r="E85" s="303"/>
    </row>
    <row r="86" ht="15">
      <c r="E86" s="303"/>
    </row>
    <row r="87" ht="15">
      <c r="E87" s="303"/>
    </row>
    <row r="88" ht="15">
      <c r="E88" s="303"/>
    </row>
    <row r="89" ht="15">
      <c r="E89" s="303"/>
    </row>
    <row r="90" ht="15">
      <c r="E90" s="303"/>
    </row>
    <row r="91" ht="15">
      <c r="E91" s="303"/>
    </row>
    <row r="92" ht="15">
      <c r="E92" s="303"/>
    </row>
    <row r="93" ht="15">
      <c r="E93" s="303"/>
    </row>
    <row r="94" ht="15">
      <c r="E94" s="303"/>
    </row>
    <row r="95" ht="15">
      <c r="E95" s="303"/>
    </row>
    <row r="96" ht="15">
      <c r="E96" s="303"/>
    </row>
    <row r="97" ht="15">
      <c r="E97" s="303"/>
    </row>
    <row r="98" ht="15">
      <c r="E98" s="303"/>
    </row>
    <row r="99" ht="15">
      <c r="E99" s="303"/>
    </row>
    <row r="100" ht="15">
      <c r="E100" s="303"/>
    </row>
    <row r="101" ht="15">
      <c r="E101" s="303"/>
    </row>
    <row r="102" ht="15">
      <c r="E102" s="303"/>
    </row>
    <row r="103" ht="15">
      <c r="E103" s="303"/>
    </row>
    <row r="104" ht="15">
      <c r="E104" s="303"/>
    </row>
    <row r="105" ht="15">
      <c r="E105" s="303"/>
    </row>
    <row r="106" ht="15">
      <c r="E106" s="303"/>
    </row>
    <row r="107" ht="15">
      <c r="E107" s="303"/>
    </row>
    <row r="108" ht="15">
      <c r="E108" s="303"/>
    </row>
    <row r="109" ht="15">
      <c r="E109" s="303"/>
    </row>
    <row r="110" ht="15">
      <c r="E110" s="303"/>
    </row>
    <row r="111" ht="15">
      <c r="E111" s="303"/>
    </row>
    <row r="112" ht="15">
      <c r="E112" s="303"/>
    </row>
    <row r="113" ht="15">
      <c r="E113" s="303"/>
    </row>
    <row r="114" ht="15">
      <c r="E114" s="303"/>
    </row>
    <row r="115" ht="15">
      <c r="E115" s="303"/>
    </row>
    <row r="116" ht="15">
      <c r="E116" s="303"/>
    </row>
    <row r="117" ht="15">
      <c r="E117" s="303"/>
    </row>
    <row r="118" ht="15">
      <c r="E118" s="303"/>
    </row>
    <row r="119" ht="15">
      <c r="E119" s="303"/>
    </row>
    <row r="120" ht="15">
      <c r="E120" s="303"/>
    </row>
    <row r="121" ht="15">
      <c r="E121" s="303"/>
    </row>
    <row r="122" ht="15">
      <c r="E122" s="303"/>
    </row>
    <row r="123" ht="15">
      <c r="E123" s="303"/>
    </row>
    <row r="124" ht="15">
      <c r="E124" s="303"/>
    </row>
    <row r="125" ht="15">
      <c r="E125" s="303"/>
    </row>
    <row r="126" ht="15">
      <c r="E126" s="303"/>
    </row>
    <row r="127" ht="15">
      <c r="E127" s="303"/>
    </row>
    <row r="128" ht="15">
      <c r="E128" s="303"/>
    </row>
    <row r="129" ht="15">
      <c r="E129" s="303"/>
    </row>
    <row r="130" ht="15">
      <c r="E130" s="303"/>
    </row>
    <row r="131" ht="15">
      <c r="E131" s="303"/>
    </row>
    <row r="132" ht="15">
      <c r="E132" s="303"/>
    </row>
    <row r="133" ht="15">
      <c r="E133" s="303"/>
    </row>
    <row r="134" ht="15">
      <c r="E134" s="303"/>
    </row>
    <row r="135" ht="15">
      <c r="E135" s="303"/>
    </row>
    <row r="136" ht="15">
      <c r="E136" s="303"/>
    </row>
    <row r="137" ht="15">
      <c r="E137" s="303"/>
    </row>
    <row r="138" ht="15">
      <c r="E138" s="303"/>
    </row>
    <row r="139" ht="15">
      <c r="E139" s="303"/>
    </row>
    <row r="140" ht="15">
      <c r="E140" s="303"/>
    </row>
    <row r="141" ht="15">
      <c r="E141" s="303"/>
    </row>
    <row r="142" ht="15">
      <c r="E142" s="303"/>
    </row>
    <row r="143" ht="15">
      <c r="E143" s="303"/>
    </row>
    <row r="144" ht="15">
      <c r="E144" s="303"/>
    </row>
    <row r="145" ht="15">
      <c r="E145" s="303"/>
    </row>
    <row r="146" ht="15">
      <c r="E146" s="303"/>
    </row>
    <row r="147" ht="15">
      <c r="E147" s="303"/>
    </row>
    <row r="148" ht="15">
      <c r="E148" s="303"/>
    </row>
    <row r="149" ht="15">
      <c r="E149" s="303"/>
    </row>
    <row r="150" ht="15">
      <c r="E150" s="303"/>
    </row>
    <row r="151" ht="15">
      <c r="E151" s="303"/>
    </row>
    <row r="152" ht="15">
      <c r="E152" s="303"/>
    </row>
    <row r="153" ht="15">
      <c r="E153" s="303"/>
    </row>
    <row r="154" ht="15">
      <c r="E154" s="303"/>
    </row>
    <row r="155" ht="15">
      <c r="E155" s="303"/>
    </row>
    <row r="156" ht="15">
      <c r="E156" s="303"/>
    </row>
    <row r="157" ht="15">
      <c r="E157" s="303"/>
    </row>
    <row r="158" ht="15">
      <c r="E158" s="303"/>
    </row>
    <row r="159" ht="15">
      <c r="E159" s="303"/>
    </row>
    <row r="160" ht="15">
      <c r="E160" s="303"/>
    </row>
    <row r="161" ht="15">
      <c r="E161" s="303"/>
    </row>
    <row r="162" ht="15">
      <c r="E162" s="303"/>
    </row>
    <row r="163" ht="15">
      <c r="E163" s="303"/>
    </row>
    <row r="164" ht="15">
      <c r="E164" s="303"/>
    </row>
    <row r="165" ht="15">
      <c r="E165" s="303"/>
    </row>
    <row r="166" ht="15">
      <c r="E166" s="303"/>
    </row>
    <row r="167" ht="15">
      <c r="E167" s="303"/>
    </row>
    <row r="168" ht="15">
      <c r="E168" s="303"/>
    </row>
    <row r="169" ht="15">
      <c r="E169" s="303"/>
    </row>
    <row r="170" ht="15">
      <c r="E170" s="303"/>
    </row>
    <row r="171" ht="15">
      <c r="E171" s="303"/>
    </row>
    <row r="172" ht="15">
      <c r="E172" s="303"/>
    </row>
    <row r="173" ht="15">
      <c r="E173" s="303"/>
    </row>
    <row r="174" ht="15">
      <c r="E174" s="303"/>
    </row>
    <row r="175" ht="15">
      <c r="E175" s="303"/>
    </row>
  </sheetData>
  <mergeCells count="7">
    <mergeCell ref="A1:E1"/>
    <mergeCell ref="A2:A3"/>
    <mergeCell ref="B2:B3"/>
    <mergeCell ref="C2:C3"/>
    <mergeCell ref="D2:D3"/>
    <mergeCell ref="E2:E3"/>
    <mergeCell ref="A47:D47"/>
  </mergeCells>
  <printOptions/>
  <pageMargins left="0.7875" right="0.7875" top="1.1506944444444445" bottom="0.6486111111111111" header="0.7875" footer="0.48194444444444445"/>
  <pageSetup horizontalDpi="300" verticalDpi="300" orientation="portrait" paperSize="9" scale="81"/>
  <headerFooter alignWithMargins="0">
    <oddHeader>&amp;R&amp;"Times New Roman,Normalny"&amp;12Załącznik Nr 11 do projektu uchwały Nr .. Rady Miejskiej w Barlinku z dnia ........grudnia 2010</oddHeader>
    <oddFooter>&amp;C&amp;"Times New Roman,Normalny"&amp;12Strona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1"/>
  <sheetViews>
    <sheetView showGridLines="0" defaultGridColor="0" view="pageBreakPreview" zoomScaleSheetLayoutView="100" colorId="15" workbookViewId="0" topLeftCell="A1">
      <selection activeCell="L9" sqref="L9"/>
    </sheetView>
  </sheetViews>
  <sheetFormatPr defaultColWidth="9.00390625" defaultRowHeight="18" customHeight="1"/>
  <cols>
    <col min="1" max="1" width="6.00390625" style="304" customWidth="1"/>
    <col min="2" max="2" width="8.25390625" style="305" customWidth="1"/>
    <col min="3" max="3" width="5.875" style="305" customWidth="1"/>
    <col min="4" max="4" width="69.00390625" style="306" customWidth="1"/>
    <col min="5" max="5" width="12.25390625" style="305" customWidth="1"/>
    <col min="6" max="7" width="14.00390625" style="305" customWidth="1"/>
    <col min="8" max="8" width="12.75390625" style="305" customWidth="1"/>
    <col min="9" max="16384" width="9.00390625" style="305" customWidth="1"/>
  </cols>
  <sheetData>
    <row r="1" spans="1:8" ht="46.5" customHeight="1">
      <c r="A1" s="307" t="s">
        <v>446</v>
      </c>
      <c r="B1" s="307"/>
      <c r="C1" s="307"/>
      <c r="D1" s="307"/>
      <c r="E1" s="307"/>
      <c r="F1" s="307"/>
      <c r="G1" s="307"/>
      <c r="H1" s="307"/>
    </row>
    <row r="2" spans="1:8" s="135" customFormat="1" ht="16.5" customHeight="1">
      <c r="A2" s="308" t="s">
        <v>66</v>
      </c>
      <c r="B2" s="309" t="s">
        <v>86</v>
      </c>
      <c r="C2" s="309" t="s">
        <v>87</v>
      </c>
      <c r="D2" s="309" t="s">
        <v>88</v>
      </c>
      <c r="E2" s="309" t="s">
        <v>447</v>
      </c>
      <c r="F2" s="309" t="s">
        <v>448</v>
      </c>
      <c r="G2" s="309" t="s">
        <v>449</v>
      </c>
      <c r="H2" s="310"/>
    </row>
    <row r="3" spans="1:8" s="136" customFormat="1" ht="34.5" customHeight="1">
      <c r="A3" s="308"/>
      <c r="B3" s="309"/>
      <c r="C3" s="309"/>
      <c r="D3" s="309"/>
      <c r="E3" s="309"/>
      <c r="F3" s="309"/>
      <c r="G3" s="309"/>
      <c r="H3" s="311" t="s">
        <v>450</v>
      </c>
    </row>
    <row r="4" spans="1:8" s="315" customFormat="1" ht="12.75" customHeight="1">
      <c r="A4" s="312">
        <v>1</v>
      </c>
      <c r="B4" s="313">
        <v>2</v>
      </c>
      <c r="C4" s="313">
        <v>3</v>
      </c>
      <c r="D4" s="313">
        <v>4</v>
      </c>
      <c r="E4" s="313">
        <v>5</v>
      </c>
      <c r="F4" s="314">
        <v>6</v>
      </c>
      <c r="G4" s="314">
        <v>7</v>
      </c>
      <c r="H4" s="314">
        <v>8</v>
      </c>
    </row>
    <row r="5" spans="1:8" ht="18" customHeight="1">
      <c r="A5" s="316" t="s">
        <v>79</v>
      </c>
      <c r="B5" s="316">
        <v>80101</v>
      </c>
      <c r="C5" s="316"/>
      <c r="D5" s="317" t="s">
        <v>181</v>
      </c>
      <c r="E5" s="318">
        <f>SUM(E6:E10)</f>
        <v>15718</v>
      </c>
      <c r="F5" s="318">
        <f>SUM(F6:F10)</f>
        <v>12973</v>
      </c>
      <c r="G5" s="318">
        <f>SUM(G6:G10)</f>
        <v>4526</v>
      </c>
      <c r="H5" s="318">
        <f>SUM(H6:H10)</f>
        <v>33217</v>
      </c>
    </row>
    <row r="6" spans="1:8" ht="18" customHeight="1">
      <c r="A6" s="316"/>
      <c r="B6" s="316"/>
      <c r="C6" s="85" t="s">
        <v>110</v>
      </c>
      <c r="D6" s="86" t="s">
        <v>182</v>
      </c>
      <c r="E6" s="319"/>
      <c r="F6" s="319"/>
      <c r="G6" s="319">
        <v>26</v>
      </c>
      <c r="H6" s="319">
        <f>SUM(E6,F6,G6)</f>
        <v>26</v>
      </c>
    </row>
    <row r="7" spans="1:8" ht="48" customHeight="1">
      <c r="A7" s="84"/>
      <c r="B7" s="85"/>
      <c r="C7" s="85" t="s">
        <v>96</v>
      </c>
      <c r="D7" s="86" t="s">
        <v>451</v>
      </c>
      <c r="E7" s="320">
        <v>9960</v>
      </c>
      <c r="F7" s="319">
        <v>8000</v>
      </c>
      <c r="G7" s="319">
        <v>4000</v>
      </c>
      <c r="H7" s="319">
        <f>SUM(E7,F7,G7)</f>
        <v>21960</v>
      </c>
    </row>
    <row r="8" spans="1:8" ht="19.5" customHeight="1">
      <c r="A8" s="84"/>
      <c r="B8" s="85"/>
      <c r="C8" s="85" t="s">
        <v>452</v>
      </c>
      <c r="D8" s="86" t="s">
        <v>222</v>
      </c>
      <c r="E8" s="320"/>
      <c r="F8" s="319"/>
      <c r="G8" s="319"/>
      <c r="H8" s="319">
        <f>SUM(E8,F8,G8)</f>
        <v>0</v>
      </c>
    </row>
    <row r="9" spans="1:8" ht="19.5" customHeight="1">
      <c r="A9" s="84"/>
      <c r="B9" s="85"/>
      <c r="C9" s="85" t="s">
        <v>453</v>
      </c>
      <c r="D9" s="86" t="s">
        <v>454</v>
      </c>
      <c r="E9" s="320">
        <v>500</v>
      </c>
      <c r="F9" s="319">
        <v>500</v>
      </c>
      <c r="G9" s="319">
        <v>300</v>
      </c>
      <c r="H9" s="319">
        <f>SUM(E9,F9,G9)</f>
        <v>1300</v>
      </c>
    </row>
    <row r="10" spans="1:8" ht="19.5" customHeight="1">
      <c r="A10" s="84"/>
      <c r="B10" s="85"/>
      <c r="C10" s="85" t="s">
        <v>183</v>
      </c>
      <c r="D10" s="86" t="s">
        <v>184</v>
      </c>
      <c r="E10" s="320">
        <v>5258</v>
      </c>
      <c r="F10" s="319">
        <f>4473</f>
        <v>4473</v>
      </c>
      <c r="G10" s="319">
        <v>200</v>
      </c>
      <c r="H10" s="319">
        <f>SUM(E10,F10,G10)</f>
        <v>9931</v>
      </c>
    </row>
    <row r="11" spans="1:8" ht="19.5" customHeight="1">
      <c r="A11" s="316"/>
      <c r="B11" s="316" t="s">
        <v>455</v>
      </c>
      <c r="C11" s="85"/>
      <c r="D11" s="317" t="s">
        <v>192</v>
      </c>
      <c r="E11" s="321">
        <f>SUM(E12)</f>
        <v>136500</v>
      </c>
      <c r="F11" s="318">
        <f>SUM(F12)</f>
        <v>0</v>
      </c>
      <c r="G11" s="318">
        <f>SUM(G12)</f>
        <v>40800</v>
      </c>
      <c r="H11" s="318">
        <f>SUM(H12)</f>
        <v>177300</v>
      </c>
    </row>
    <row r="12" spans="1:8" ht="19.5" customHeight="1">
      <c r="A12" s="316"/>
      <c r="B12" s="316"/>
      <c r="C12" s="85" t="s">
        <v>452</v>
      </c>
      <c r="D12" s="86" t="s">
        <v>222</v>
      </c>
      <c r="E12" s="320">
        <v>136500</v>
      </c>
      <c r="F12" s="319"/>
      <c r="G12" s="319">
        <v>40800</v>
      </c>
      <c r="H12" s="319">
        <f>SUM(E12,F12,G12)</f>
        <v>177300</v>
      </c>
    </row>
    <row r="13" spans="1:8" ht="18" customHeight="1">
      <c r="A13" s="322" t="s">
        <v>228</v>
      </c>
      <c r="B13" s="322"/>
      <c r="C13" s="322"/>
      <c r="D13" s="322"/>
      <c r="E13" s="323">
        <f>E5+E11</f>
        <v>152218</v>
      </c>
      <c r="F13" s="323">
        <f>F5+F11</f>
        <v>12973</v>
      </c>
      <c r="G13" s="323">
        <f>G5+G11</f>
        <v>45326</v>
      </c>
      <c r="H13" s="323">
        <f>H5+H11</f>
        <v>210517</v>
      </c>
    </row>
    <row r="14" ht="18" customHeight="1">
      <c r="E14" s="324"/>
    </row>
    <row r="15" ht="18" customHeight="1">
      <c r="E15" s="324"/>
    </row>
    <row r="16" ht="18" customHeight="1">
      <c r="E16" s="324"/>
    </row>
    <row r="17" ht="18" customHeight="1">
      <c r="E17" s="324"/>
    </row>
    <row r="18" ht="18" customHeight="1">
      <c r="E18" s="324"/>
    </row>
    <row r="19" ht="18" customHeight="1">
      <c r="E19" s="324"/>
    </row>
    <row r="20" ht="18" customHeight="1">
      <c r="E20" s="324"/>
    </row>
    <row r="21" ht="18" customHeight="1">
      <c r="E21" s="324"/>
    </row>
    <row r="22" ht="18" customHeight="1">
      <c r="E22" s="324"/>
    </row>
    <row r="23" ht="18" customHeight="1">
      <c r="E23" s="324"/>
    </row>
    <row r="24" ht="18" customHeight="1">
      <c r="E24" s="324"/>
    </row>
    <row r="25" ht="18" customHeight="1">
      <c r="E25" s="324"/>
    </row>
    <row r="26" ht="18" customHeight="1">
      <c r="E26" s="324"/>
    </row>
    <row r="27" ht="18" customHeight="1">
      <c r="E27" s="324"/>
    </row>
    <row r="28" ht="18" customHeight="1">
      <c r="E28" s="324"/>
    </row>
    <row r="29" ht="18" customHeight="1">
      <c r="E29" s="324"/>
    </row>
    <row r="30" ht="18" customHeight="1">
      <c r="E30" s="324"/>
    </row>
    <row r="31" ht="18" customHeight="1">
      <c r="E31" s="324"/>
    </row>
    <row r="32" ht="18" customHeight="1">
      <c r="E32" s="324"/>
    </row>
    <row r="33" ht="18" customHeight="1">
      <c r="E33" s="324"/>
    </row>
    <row r="34" ht="18" customHeight="1">
      <c r="E34" s="324"/>
    </row>
    <row r="35" ht="18" customHeight="1">
      <c r="E35" s="324"/>
    </row>
    <row r="36" ht="18" customHeight="1">
      <c r="E36" s="324"/>
    </row>
    <row r="37" ht="18" customHeight="1">
      <c r="E37" s="324"/>
    </row>
    <row r="38" ht="18" customHeight="1">
      <c r="E38" s="324"/>
    </row>
    <row r="39" ht="18" customHeight="1">
      <c r="E39" s="324"/>
    </row>
    <row r="40" ht="18" customHeight="1">
      <c r="E40" s="324"/>
    </row>
    <row r="41" ht="18" customHeight="1">
      <c r="E41" s="324"/>
    </row>
    <row r="42" ht="18" customHeight="1">
      <c r="E42" s="324"/>
    </row>
    <row r="43" ht="18" customHeight="1">
      <c r="E43" s="324"/>
    </row>
    <row r="44" ht="18" customHeight="1">
      <c r="E44" s="324"/>
    </row>
    <row r="45" ht="18" customHeight="1">
      <c r="E45" s="324"/>
    </row>
    <row r="46" ht="18" customHeight="1">
      <c r="E46" s="324"/>
    </row>
    <row r="47" ht="18" customHeight="1">
      <c r="E47" s="324"/>
    </row>
    <row r="48" ht="18" customHeight="1">
      <c r="E48" s="324"/>
    </row>
    <row r="49" ht="18" customHeight="1">
      <c r="E49" s="324"/>
    </row>
    <row r="50" ht="18" customHeight="1">
      <c r="E50" s="324"/>
    </row>
    <row r="51" ht="18" customHeight="1">
      <c r="E51" s="324"/>
    </row>
    <row r="52" ht="18" customHeight="1">
      <c r="E52" s="324"/>
    </row>
    <row r="53" ht="18" customHeight="1">
      <c r="E53" s="324"/>
    </row>
    <row r="54" ht="18" customHeight="1">
      <c r="E54" s="324"/>
    </row>
    <row r="55" ht="18" customHeight="1">
      <c r="E55" s="324"/>
    </row>
    <row r="56" ht="18" customHeight="1">
      <c r="E56" s="324"/>
    </row>
    <row r="57" ht="18" customHeight="1">
      <c r="E57" s="324"/>
    </row>
    <row r="58" ht="18" customHeight="1">
      <c r="E58" s="324"/>
    </row>
    <row r="59" ht="18" customHeight="1">
      <c r="E59" s="324"/>
    </row>
    <row r="60" ht="18" customHeight="1">
      <c r="E60" s="324"/>
    </row>
    <row r="61" ht="18" customHeight="1">
      <c r="E61" s="324"/>
    </row>
    <row r="62" ht="18" customHeight="1">
      <c r="E62" s="324"/>
    </row>
    <row r="63" ht="18" customHeight="1">
      <c r="E63" s="324"/>
    </row>
    <row r="64" ht="18" customHeight="1">
      <c r="E64" s="324"/>
    </row>
    <row r="65" ht="18" customHeight="1">
      <c r="E65" s="324"/>
    </row>
    <row r="66" ht="18" customHeight="1">
      <c r="E66" s="324"/>
    </row>
    <row r="67" ht="18" customHeight="1">
      <c r="E67" s="324"/>
    </row>
    <row r="68" ht="18" customHeight="1">
      <c r="E68" s="324"/>
    </row>
    <row r="69" ht="18" customHeight="1">
      <c r="E69" s="324"/>
    </row>
    <row r="70" ht="18" customHeight="1">
      <c r="E70" s="324"/>
    </row>
    <row r="71" ht="18" customHeight="1">
      <c r="E71" s="324"/>
    </row>
    <row r="72" ht="18" customHeight="1">
      <c r="E72" s="324"/>
    </row>
    <row r="73" ht="18" customHeight="1">
      <c r="E73" s="324"/>
    </row>
    <row r="74" ht="18" customHeight="1">
      <c r="E74" s="324"/>
    </row>
    <row r="75" ht="18" customHeight="1">
      <c r="E75" s="324"/>
    </row>
    <row r="76" ht="18" customHeight="1">
      <c r="E76" s="324"/>
    </row>
    <row r="77" ht="18" customHeight="1">
      <c r="E77" s="324"/>
    </row>
    <row r="78" ht="18" customHeight="1">
      <c r="E78" s="324"/>
    </row>
    <row r="79" ht="18" customHeight="1">
      <c r="E79" s="324"/>
    </row>
    <row r="80" ht="18" customHeight="1">
      <c r="E80" s="324"/>
    </row>
    <row r="81" ht="18" customHeight="1">
      <c r="E81" s="324"/>
    </row>
    <row r="82" ht="18" customHeight="1">
      <c r="E82" s="324"/>
    </row>
    <row r="83" ht="18" customHeight="1">
      <c r="E83" s="324"/>
    </row>
    <row r="84" ht="18" customHeight="1">
      <c r="E84" s="324"/>
    </row>
    <row r="85" ht="18" customHeight="1">
      <c r="E85" s="324"/>
    </row>
    <row r="86" ht="18" customHeight="1">
      <c r="E86" s="324"/>
    </row>
    <row r="87" ht="18" customHeight="1">
      <c r="E87" s="324"/>
    </row>
    <row r="88" ht="18" customHeight="1">
      <c r="E88" s="324"/>
    </row>
    <row r="89" ht="18" customHeight="1">
      <c r="E89" s="324"/>
    </row>
    <row r="90" ht="18" customHeight="1">
      <c r="E90" s="324"/>
    </row>
    <row r="91" ht="18" customHeight="1">
      <c r="E91" s="324"/>
    </row>
    <row r="92" ht="18" customHeight="1">
      <c r="E92" s="324"/>
    </row>
    <row r="93" ht="18" customHeight="1">
      <c r="E93" s="324"/>
    </row>
    <row r="94" ht="18" customHeight="1">
      <c r="E94" s="324"/>
    </row>
    <row r="95" ht="18" customHeight="1">
      <c r="E95" s="324"/>
    </row>
    <row r="96" ht="18" customHeight="1">
      <c r="E96" s="324"/>
    </row>
    <row r="97" ht="18" customHeight="1">
      <c r="E97" s="324"/>
    </row>
    <row r="98" ht="18" customHeight="1">
      <c r="E98" s="324"/>
    </row>
    <row r="99" ht="18" customHeight="1">
      <c r="E99" s="324"/>
    </row>
    <row r="100" ht="18" customHeight="1">
      <c r="E100" s="324"/>
    </row>
    <row r="101" ht="18" customHeight="1">
      <c r="E101" s="324"/>
    </row>
    <row r="102" ht="18" customHeight="1">
      <c r="E102" s="324"/>
    </row>
    <row r="103" ht="18" customHeight="1">
      <c r="E103" s="324"/>
    </row>
    <row r="104" ht="18" customHeight="1">
      <c r="E104" s="324"/>
    </row>
    <row r="105" ht="18" customHeight="1">
      <c r="E105" s="324"/>
    </row>
    <row r="106" ht="18" customHeight="1">
      <c r="E106" s="324"/>
    </row>
    <row r="107" ht="18" customHeight="1">
      <c r="E107" s="324"/>
    </row>
    <row r="108" ht="18" customHeight="1">
      <c r="E108" s="324"/>
    </row>
    <row r="109" ht="18" customHeight="1">
      <c r="E109" s="324"/>
    </row>
    <row r="110" ht="18" customHeight="1">
      <c r="E110" s="324"/>
    </row>
    <row r="111" ht="18" customHeight="1">
      <c r="E111" s="324"/>
    </row>
    <row r="112" ht="18" customHeight="1">
      <c r="E112" s="324"/>
    </row>
    <row r="113" ht="18" customHeight="1">
      <c r="E113" s="324"/>
    </row>
    <row r="114" ht="18" customHeight="1">
      <c r="E114" s="324"/>
    </row>
    <row r="115" ht="18" customHeight="1">
      <c r="E115" s="324"/>
    </row>
    <row r="116" ht="18" customHeight="1">
      <c r="E116" s="324"/>
    </row>
    <row r="117" ht="18" customHeight="1">
      <c r="E117" s="324"/>
    </row>
    <row r="118" ht="18" customHeight="1">
      <c r="E118" s="324"/>
    </row>
    <row r="119" ht="18" customHeight="1">
      <c r="E119" s="324"/>
    </row>
    <row r="120" ht="18" customHeight="1">
      <c r="E120" s="324"/>
    </row>
    <row r="121" ht="18" customHeight="1">
      <c r="E121" s="324"/>
    </row>
    <row r="122" ht="18" customHeight="1">
      <c r="E122" s="324"/>
    </row>
    <row r="123" ht="18" customHeight="1">
      <c r="E123" s="324"/>
    </row>
    <row r="124" ht="18" customHeight="1">
      <c r="E124" s="324"/>
    </row>
    <row r="125" ht="18" customHeight="1">
      <c r="E125" s="324"/>
    </row>
    <row r="126" ht="18" customHeight="1">
      <c r="E126" s="324"/>
    </row>
    <row r="127" ht="18" customHeight="1">
      <c r="E127" s="324"/>
    </row>
    <row r="128" ht="18" customHeight="1">
      <c r="E128" s="324"/>
    </row>
    <row r="129" ht="18" customHeight="1">
      <c r="E129" s="324"/>
    </row>
    <row r="130" ht="18" customHeight="1">
      <c r="E130" s="324"/>
    </row>
    <row r="131" ht="18" customHeight="1">
      <c r="E131" s="324"/>
    </row>
    <row r="132" ht="18" customHeight="1">
      <c r="E132" s="324"/>
    </row>
    <row r="133" ht="18" customHeight="1">
      <c r="E133" s="324"/>
    </row>
    <row r="134" ht="18" customHeight="1">
      <c r="E134" s="324"/>
    </row>
    <row r="135" ht="18" customHeight="1">
      <c r="E135" s="324"/>
    </row>
    <row r="136" ht="18" customHeight="1">
      <c r="E136" s="324"/>
    </row>
    <row r="137" ht="18" customHeight="1">
      <c r="E137" s="324"/>
    </row>
    <row r="138" ht="18" customHeight="1">
      <c r="E138" s="324"/>
    </row>
    <row r="139" ht="18" customHeight="1">
      <c r="E139" s="324"/>
    </row>
    <row r="140" ht="18" customHeight="1">
      <c r="E140" s="324"/>
    </row>
    <row r="141" ht="18" customHeight="1">
      <c r="E141" s="324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A13:D13"/>
  </mergeCells>
  <printOptions/>
  <pageMargins left="0.5902777777777778" right="0.5902777777777778" top="0.9854166666666666" bottom="0.7555555555555555" header="0.5902777777777778" footer="0.5902777777777778"/>
  <pageSetup horizontalDpi="300" verticalDpi="300" orientation="landscape" paperSize="9" scale="96"/>
  <headerFooter alignWithMargins="0">
    <oddHeader>&amp;R&amp;"Times New Roman,Normalny"&amp;12Załącznik Nr 12 do projektu uchwały Nr . Rady Miejskiej w Barlinku z dnia ........grudnia 2010</oddHeader>
    <oddFooter>&amp;C&amp;"Times New Roman,Normalny"&amp;12Strona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0"/>
  <sheetViews>
    <sheetView showGridLines="0" defaultGridColor="0" view="pageBreakPreview" zoomScaleSheetLayoutView="100" colorId="15" workbookViewId="0" topLeftCell="A1">
      <selection activeCell="F4" sqref="F4"/>
    </sheetView>
  </sheetViews>
  <sheetFormatPr defaultColWidth="9.00390625" defaultRowHeight="18" customHeight="1"/>
  <cols>
    <col min="1" max="1" width="6.00390625" style="304" customWidth="1"/>
    <col min="2" max="2" width="8.25390625" style="305" customWidth="1"/>
    <col min="3" max="3" width="5.875" style="305" customWidth="1"/>
    <col min="4" max="4" width="70.75390625" style="306" customWidth="1"/>
    <col min="5" max="5" width="14.50390625" style="305" customWidth="1"/>
    <col min="6" max="6" width="14.375" style="305" customWidth="1"/>
    <col min="7" max="7" width="12.75390625" style="305" customWidth="1"/>
    <col min="8" max="16384" width="9.00390625" style="305" customWidth="1"/>
  </cols>
  <sheetData>
    <row r="1" spans="1:7" ht="46.5" customHeight="1">
      <c r="A1" s="307" t="s">
        <v>456</v>
      </c>
      <c r="B1" s="307"/>
      <c r="C1" s="307"/>
      <c r="D1" s="307"/>
      <c r="E1" s="307"/>
      <c r="F1" s="307"/>
      <c r="G1" s="307"/>
    </row>
    <row r="2" spans="1:7" s="135" customFormat="1" ht="16.5" customHeight="1">
      <c r="A2" s="308" t="s">
        <v>66</v>
      </c>
      <c r="B2" s="309" t="s">
        <v>86</v>
      </c>
      <c r="C2" s="309" t="s">
        <v>87</v>
      </c>
      <c r="D2" s="309" t="s">
        <v>88</v>
      </c>
      <c r="E2" s="309" t="s">
        <v>457</v>
      </c>
      <c r="F2" s="309" t="s">
        <v>458</v>
      </c>
      <c r="G2" s="309" t="s">
        <v>450</v>
      </c>
    </row>
    <row r="3" spans="1:7" s="136" customFormat="1" ht="34.5" customHeight="1">
      <c r="A3" s="308"/>
      <c r="B3" s="309"/>
      <c r="C3" s="309"/>
      <c r="D3" s="309"/>
      <c r="E3" s="309"/>
      <c r="F3" s="309"/>
      <c r="G3" s="309"/>
    </row>
    <row r="4" spans="1:7" s="315" customFormat="1" ht="12.75" customHeight="1">
      <c r="A4" s="312">
        <v>1</v>
      </c>
      <c r="B4" s="313">
        <v>2</v>
      </c>
      <c r="C4" s="313">
        <v>3</v>
      </c>
      <c r="D4" s="313">
        <v>4</v>
      </c>
      <c r="E4" s="313">
        <v>5</v>
      </c>
      <c r="F4" s="313">
        <v>6</v>
      </c>
      <c r="G4" s="313">
        <v>7</v>
      </c>
    </row>
    <row r="5" spans="1:7" ht="18" customHeight="1">
      <c r="A5" s="316" t="s">
        <v>79</v>
      </c>
      <c r="B5" s="316" t="s">
        <v>185</v>
      </c>
      <c r="C5" s="316"/>
      <c r="D5" s="317" t="s">
        <v>186</v>
      </c>
      <c r="E5" s="321">
        <f>SUM(E6:E9)</f>
        <v>267900</v>
      </c>
      <c r="F5" s="321">
        <f>SUM(F6:F9)</f>
        <v>483103</v>
      </c>
      <c r="G5" s="321">
        <f>SUM(G6:G9)</f>
        <v>750803</v>
      </c>
    </row>
    <row r="6" spans="1:7" ht="48" customHeight="1">
      <c r="A6" s="85"/>
      <c r="B6" s="85"/>
      <c r="C6" s="85" t="s">
        <v>96</v>
      </c>
      <c r="D6" s="86" t="s">
        <v>451</v>
      </c>
      <c r="E6" s="320">
        <v>200</v>
      </c>
      <c r="F6" s="320">
        <v>12696</v>
      </c>
      <c r="G6" s="320">
        <f>SUM(F6)</f>
        <v>12696</v>
      </c>
    </row>
    <row r="7" spans="1:7" ht="18" customHeight="1">
      <c r="A7" s="85"/>
      <c r="B7" s="85"/>
      <c r="C7" s="85" t="s">
        <v>125</v>
      </c>
      <c r="D7" s="86" t="s">
        <v>126</v>
      </c>
      <c r="E7" s="320">
        <v>267400</v>
      </c>
      <c r="F7" s="320">
        <v>467950</v>
      </c>
      <c r="G7" s="320">
        <f>SUM(F7,E7)</f>
        <v>735350</v>
      </c>
    </row>
    <row r="8" spans="1:7" ht="18" customHeight="1">
      <c r="A8" s="85"/>
      <c r="B8" s="85"/>
      <c r="C8" s="85" t="s">
        <v>117</v>
      </c>
      <c r="D8" s="86" t="s">
        <v>118</v>
      </c>
      <c r="E8" s="320">
        <v>300</v>
      </c>
      <c r="F8" s="320">
        <v>1500</v>
      </c>
      <c r="G8" s="325">
        <f>SUM(F8,E8)</f>
        <v>1800</v>
      </c>
    </row>
    <row r="9" spans="1:7" ht="18" customHeight="1">
      <c r="A9" s="84"/>
      <c r="B9" s="85"/>
      <c r="C9" s="85" t="s">
        <v>183</v>
      </c>
      <c r="D9" s="86" t="s">
        <v>184</v>
      </c>
      <c r="E9" s="320"/>
      <c r="F9" s="319">
        <v>957</v>
      </c>
      <c r="G9" s="325">
        <f>SUM(F9,E9)</f>
        <v>957</v>
      </c>
    </row>
    <row r="10" spans="1:7" ht="18" customHeight="1">
      <c r="A10" s="85"/>
      <c r="B10" s="316" t="s">
        <v>455</v>
      </c>
      <c r="C10" s="85"/>
      <c r="D10" s="317" t="s">
        <v>192</v>
      </c>
      <c r="E10" s="321">
        <v>0</v>
      </c>
      <c r="F10" s="321">
        <f>SUM(F11)</f>
        <v>288750</v>
      </c>
      <c r="G10" s="326">
        <f>SUM(F10)</f>
        <v>288750</v>
      </c>
    </row>
    <row r="11" spans="1:7" ht="18" customHeight="1">
      <c r="A11" s="85"/>
      <c r="B11" s="316"/>
      <c r="C11" s="85" t="s">
        <v>452</v>
      </c>
      <c r="D11" s="86" t="s">
        <v>126</v>
      </c>
      <c r="E11" s="320">
        <v>174720</v>
      </c>
      <c r="F11" s="320">
        <v>288750</v>
      </c>
      <c r="G11" s="325">
        <f>SUM(F11)</f>
        <v>288750</v>
      </c>
    </row>
    <row r="12" spans="1:7" ht="18" customHeight="1">
      <c r="A12" s="322" t="s">
        <v>228</v>
      </c>
      <c r="B12" s="322"/>
      <c r="C12" s="322"/>
      <c r="D12" s="322"/>
      <c r="E12" s="323">
        <f>E5+E10</f>
        <v>267900</v>
      </c>
      <c r="F12" s="323">
        <f>F5+F10</f>
        <v>771853</v>
      </c>
      <c r="G12" s="323">
        <f>G5+G10</f>
        <v>1039553</v>
      </c>
    </row>
    <row r="13" spans="5:7" ht="18" customHeight="1">
      <c r="E13" s="324"/>
      <c r="F13" s="324"/>
      <c r="G13" s="327"/>
    </row>
    <row r="14" spans="5:7" ht="18" customHeight="1">
      <c r="E14" s="324"/>
      <c r="F14" s="324"/>
      <c r="G14" s="327"/>
    </row>
    <row r="15" spans="5:7" ht="18" customHeight="1">
      <c r="E15" s="324"/>
      <c r="F15" s="324"/>
      <c r="G15" s="327"/>
    </row>
    <row r="16" spans="5:7" ht="18" customHeight="1">
      <c r="E16" s="324"/>
      <c r="F16" s="324"/>
      <c r="G16" s="327"/>
    </row>
    <row r="17" spans="5:7" ht="18" customHeight="1">
      <c r="E17" s="324"/>
      <c r="F17" s="324"/>
      <c r="G17" s="327"/>
    </row>
    <row r="18" spans="5:7" ht="18" customHeight="1">
      <c r="E18" s="324"/>
      <c r="F18" s="324"/>
      <c r="G18" s="327"/>
    </row>
    <row r="19" spans="5:7" ht="18" customHeight="1">
      <c r="E19" s="324"/>
      <c r="F19" s="324"/>
      <c r="G19" s="327"/>
    </row>
    <row r="20" spans="5:7" ht="18" customHeight="1">
      <c r="E20" s="324"/>
      <c r="F20" s="324"/>
      <c r="G20" s="327"/>
    </row>
    <row r="21" spans="5:7" ht="18" customHeight="1">
      <c r="E21" s="324"/>
      <c r="F21" s="324"/>
      <c r="G21" s="327"/>
    </row>
    <row r="22" spans="5:7" ht="18" customHeight="1">
      <c r="E22" s="324"/>
      <c r="F22" s="324"/>
      <c r="G22" s="327"/>
    </row>
    <row r="23" spans="5:7" ht="18" customHeight="1">
      <c r="E23" s="324"/>
      <c r="F23" s="324"/>
      <c r="G23" s="327"/>
    </row>
    <row r="24" spans="5:7" ht="18" customHeight="1">
      <c r="E24" s="324"/>
      <c r="F24" s="324"/>
      <c r="G24" s="327"/>
    </row>
    <row r="25" spans="5:7" ht="18" customHeight="1">
      <c r="E25" s="324"/>
      <c r="F25" s="324"/>
      <c r="G25" s="327"/>
    </row>
    <row r="26" spans="5:7" ht="18" customHeight="1">
      <c r="E26" s="324"/>
      <c r="F26" s="324"/>
      <c r="G26" s="327"/>
    </row>
    <row r="27" spans="5:7" ht="18" customHeight="1">
      <c r="E27" s="324"/>
      <c r="F27" s="324"/>
      <c r="G27" s="327"/>
    </row>
    <row r="28" spans="5:7" ht="18" customHeight="1">
      <c r="E28" s="324"/>
      <c r="F28" s="324"/>
      <c r="G28" s="327"/>
    </row>
    <row r="29" spans="5:7" ht="18" customHeight="1">
      <c r="E29" s="324"/>
      <c r="F29" s="324"/>
      <c r="G29" s="327"/>
    </row>
    <row r="30" spans="5:7" ht="18" customHeight="1">
      <c r="E30" s="324"/>
      <c r="F30" s="324"/>
      <c r="G30" s="327"/>
    </row>
    <row r="31" spans="5:7" ht="18" customHeight="1">
      <c r="E31" s="324"/>
      <c r="F31" s="324"/>
      <c r="G31" s="327"/>
    </row>
    <row r="32" spans="5:7" ht="18" customHeight="1">
      <c r="E32" s="324"/>
      <c r="F32" s="324"/>
      <c r="G32" s="327"/>
    </row>
    <row r="33" spans="5:7" ht="18" customHeight="1">
      <c r="E33" s="324"/>
      <c r="F33" s="324"/>
      <c r="G33" s="327"/>
    </row>
    <row r="34" spans="5:7" ht="18" customHeight="1">
      <c r="E34" s="324"/>
      <c r="F34" s="324"/>
      <c r="G34" s="327"/>
    </row>
    <row r="35" spans="5:7" ht="18" customHeight="1">
      <c r="E35" s="324"/>
      <c r="F35" s="324"/>
      <c r="G35" s="327"/>
    </row>
    <row r="36" spans="5:7" ht="18" customHeight="1">
      <c r="E36" s="324"/>
      <c r="F36" s="324"/>
      <c r="G36" s="327"/>
    </row>
    <row r="37" spans="5:7" ht="18" customHeight="1">
      <c r="E37" s="324"/>
      <c r="F37" s="324"/>
      <c r="G37" s="327"/>
    </row>
    <row r="38" spans="5:7" ht="18" customHeight="1">
      <c r="E38" s="324"/>
      <c r="F38" s="324"/>
      <c r="G38" s="327"/>
    </row>
    <row r="39" spans="5:7" ht="18" customHeight="1">
      <c r="E39" s="324"/>
      <c r="F39" s="324"/>
      <c r="G39" s="327"/>
    </row>
    <row r="40" spans="5:7" ht="18" customHeight="1">
      <c r="E40" s="324"/>
      <c r="F40" s="324"/>
      <c r="G40" s="327"/>
    </row>
    <row r="41" spans="5:7" ht="18" customHeight="1">
      <c r="E41" s="324"/>
      <c r="F41" s="324"/>
      <c r="G41" s="327"/>
    </row>
    <row r="42" spans="5:7" ht="18" customHeight="1">
      <c r="E42" s="324"/>
      <c r="F42" s="324"/>
      <c r="G42" s="327"/>
    </row>
    <row r="43" spans="5:7" ht="18" customHeight="1">
      <c r="E43" s="324"/>
      <c r="F43" s="324"/>
      <c r="G43" s="327"/>
    </row>
    <row r="44" spans="5:7" ht="18" customHeight="1">
      <c r="E44" s="324"/>
      <c r="F44" s="324"/>
      <c r="G44" s="327"/>
    </row>
    <row r="45" spans="5:7" ht="18" customHeight="1">
      <c r="E45" s="324"/>
      <c r="F45" s="324"/>
      <c r="G45" s="327"/>
    </row>
    <row r="46" spans="5:7" ht="18" customHeight="1">
      <c r="E46" s="324"/>
      <c r="F46" s="324"/>
      <c r="G46" s="327"/>
    </row>
    <row r="47" spans="5:7" ht="18" customHeight="1">
      <c r="E47" s="324"/>
      <c r="F47" s="324"/>
      <c r="G47" s="327"/>
    </row>
    <row r="48" spans="5:7" ht="18" customHeight="1">
      <c r="E48" s="324"/>
      <c r="F48" s="324"/>
      <c r="G48" s="327"/>
    </row>
    <row r="49" spans="5:7" ht="18" customHeight="1">
      <c r="E49" s="324"/>
      <c r="F49" s="324"/>
      <c r="G49" s="327"/>
    </row>
    <row r="50" spans="5:7" ht="18" customHeight="1">
      <c r="E50" s="324"/>
      <c r="F50" s="324"/>
      <c r="G50" s="327"/>
    </row>
    <row r="51" spans="5:7" ht="18" customHeight="1">
      <c r="E51" s="324"/>
      <c r="F51" s="324"/>
      <c r="G51" s="327"/>
    </row>
    <row r="52" spans="5:7" ht="18" customHeight="1">
      <c r="E52" s="324"/>
      <c r="F52" s="324"/>
      <c r="G52" s="327"/>
    </row>
    <row r="53" spans="5:7" ht="18" customHeight="1">
      <c r="E53" s="324"/>
      <c r="F53" s="324"/>
      <c r="G53" s="327"/>
    </row>
    <row r="54" spans="5:7" ht="18" customHeight="1">
      <c r="E54" s="324"/>
      <c r="F54" s="324"/>
      <c r="G54" s="327"/>
    </row>
    <row r="55" spans="5:7" ht="18" customHeight="1">
      <c r="E55" s="324"/>
      <c r="F55" s="324"/>
      <c r="G55" s="327"/>
    </row>
    <row r="56" spans="5:7" ht="18" customHeight="1">
      <c r="E56" s="324"/>
      <c r="F56" s="324"/>
      <c r="G56" s="327"/>
    </row>
    <row r="57" spans="5:7" ht="18" customHeight="1">
      <c r="E57" s="324"/>
      <c r="F57" s="324"/>
      <c r="G57" s="327"/>
    </row>
    <row r="58" spans="5:7" ht="18" customHeight="1">
      <c r="E58" s="324"/>
      <c r="F58" s="324"/>
      <c r="G58" s="327"/>
    </row>
    <row r="59" spans="5:7" ht="18" customHeight="1">
      <c r="E59" s="324"/>
      <c r="F59" s="324"/>
      <c r="G59" s="327"/>
    </row>
    <row r="60" spans="5:7" ht="18" customHeight="1">
      <c r="E60" s="324"/>
      <c r="F60" s="324"/>
      <c r="G60" s="327"/>
    </row>
    <row r="61" spans="5:7" ht="18" customHeight="1">
      <c r="E61" s="324"/>
      <c r="F61" s="324"/>
      <c r="G61" s="327"/>
    </row>
    <row r="62" spans="5:7" ht="18" customHeight="1">
      <c r="E62" s="324"/>
      <c r="F62" s="324"/>
      <c r="G62" s="327"/>
    </row>
    <row r="63" spans="5:7" ht="18" customHeight="1">
      <c r="E63" s="324"/>
      <c r="F63" s="324"/>
      <c r="G63" s="327"/>
    </row>
    <row r="64" spans="5:7" ht="18" customHeight="1">
      <c r="E64" s="324"/>
      <c r="F64" s="324"/>
      <c r="G64" s="327"/>
    </row>
    <row r="65" spans="5:7" ht="18" customHeight="1">
      <c r="E65" s="324"/>
      <c r="F65" s="324"/>
      <c r="G65" s="327"/>
    </row>
    <row r="66" spans="5:7" ht="18" customHeight="1">
      <c r="E66" s="324"/>
      <c r="F66" s="324"/>
      <c r="G66" s="327"/>
    </row>
    <row r="67" spans="5:7" ht="18" customHeight="1">
      <c r="E67" s="324"/>
      <c r="F67" s="324"/>
      <c r="G67" s="327"/>
    </row>
    <row r="68" spans="5:7" ht="18" customHeight="1">
      <c r="E68" s="324"/>
      <c r="F68" s="324"/>
      <c r="G68" s="327"/>
    </row>
    <row r="69" spans="5:7" ht="18" customHeight="1">
      <c r="E69" s="324"/>
      <c r="F69" s="324"/>
      <c r="G69" s="327"/>
    </row>
    <row r="70" spans="5:7" ht="18" customHeight="1">
      <c r="E70" s="324"/>
      <c r="F70" s="324"/>
      <c r="G70" s="327"/>
    </row>
    <row r="71" spans="5:7" ht="18" customHeight="1">
      <c r="E71" s="324"/>
      <c r="F71" s="324"/>
      <c r="G71" s="327"/>
    </row>
    <row r="72" spans="5:7" ht="18" customHeight="1">
      <c r="E72" s="324"/>
      <c r="F72" s="324"/>
      <c r="G72" s="327"/>
    </row>
    <row r="73" spans="5:7" ht="18" customHeight="1">
      <c r="E73" s="324"/>
      <c r="F73" s="324"/>
      <c r="G73" s="327"/>
    </row>
    <row r="74" spans="5:7" ht="18" customHeight="1">
      <c r="E74" s="324"/>
      <c r="F74" s="324"/>
      <c r="G74" s="327"/>
    </row>
    <row r="75" spans="5:7" ht="18" customHeight="1">
      <c r="E75" s="324"/>
      <c r="F75" s="324"/>
      <c r="G75" s="327"/>
    </row>
    <row r="76" spans="5:7" ht="18" customHeight="1">
      <c r="E76" s="324"/>
      <c r="F76" s="324"/>
      <c r="G76" s="327"/>
    </row>
    <row r="77" spans="5:7" ht="18" customHeight="1">
      <c r="E77" s="324"/>
      <c r="F77" s="324"/>
      <c r="G77" s="327"/>
    </row>
    <row r="78" spans="5:7" ht="18" customHeight="1">
      <c r="E78" s="324"/>
      <c r="F78" s="324"/>
      <c r="G78" s="327"/>
    </row>
    <row r="79" spans="5:7" ht="18" customHeight="1">
      <c r="E79" s="324"/>
      <c r="F79" s="324"/>
      <c r="G79" s="327"/>
    </row>
    <row r="80" spans="5:7" ht="18" customHeight="1">
      <c r="E80" s="324"/>
      <c r="F80" s="324"/>
      <c r="G80" s="327"/>
    </row>
    <row r="81" spans="5:7" ht="18" customHeight="1">
      <c r="E81" s="324"/>
      <c r="F81" s="324"/>
      <c r="G81" s="327"/>
    </row>
    <row r="82" spans="5:7" ht="18" customHeight="1">
      <c r="E82" s="324"/>
      <c r="F82" s="324"/>
      <c r="G82" s="327"/>
    </row>
    <row r="83" spans="5:7" ht="18" customHeight="1">
      <c r="E83" s="324"/>
      <c r="F83" s="324"/>
      <c r="G83" s="327"/>
    </row>
    <row r="84" spans="5:7" ht="18" customHeight="1">
      <c r="E84" s="324"/>
      <c r="F84" s="324"/>
      <c r="G84" s="327"/>
    </row>
    <row r="85" spans="5:7" ht="18" customHeight="1">
      <c r="E85" s="324"/>
      <c r="F85" s="324"/>
      <c r="G85" s="327"/>
    </row>
    <row r="86" spans="5:7" ht="18" customHeight="1">
      <c r="E86" s="324"/>
      <c r="F86" s="324"/>
      <c r="G86" s="327"/>
    </row>
    <row r="87" spans="5:7" ht="18" customHeight="1">
      <c r="E87" s="324"/>
      <c r="F87" s="324"/>
      <c r="G87" s="327"/>
    </row>
    <row r="88" spans="5:7" ht="18" customHeight="1">
      <c r="E88" s="324"/>
      <c r="F88" s="324"/>
      <c r="G88" s="327"/>
    </row>
    <row r="89" spans="5:7" ht="18" customHeight="1">
      <c r="E89" s="324"/>
      <c r="F89" s="324"/>
      <c r="G89" s="327"/>
    </row>
    <row r="90" spans="5:7" ht="18" customHeight="1">
      <c r="E90" s="324"/>
      <c r="F90" s="324"/>
      <c r="G90" s="327"/>
    </row>
    <row r="91" spans="5:7" ht="18" customHeight="1">
      <c r="E91" s="324"/>
      <c r="F91" s="324"/>
      <c r="G91" s="327"/>
    </row>
    <row r="92" spans="5:7" ht="18" customHeight="1">
      <c r="E92" s="324"/>
      <c r="F92" s="324"/>
      <c r="G92" s="327"/>
    </row>
    <row r="93" spans="5:7" ht="18" customHeight="1">
      <c r="E93" s="324"/>
      <c r="F93" s="324"/>
      <c r="G93" s="327"/>
    </row>
    <row r="94" spans="5:7" ht="18" customHeight="1">
      <c r="E94" s="324"/>
      <c r="F94" s="324"/>
      <c r="G94" s="327"/>
    </row>
    <row r="95" spans="5:7" ht="18" customHeight="1">
      <c r="E95" s="324"/>
      <c r="F95" s="324"/>
      <c r="G95" s="327"/>
    </row>
    <row r="96" spans="5:7" ht="18" customHeight="1">
      <c r="E96" s="324"/>
      <c r="F96" s="324"/>
      <c r="G96" s="327"/>
    </row>
    <row r="97" spans="5:7" ht="18" customHeight="1">
      <c r="E97" s="324"/>
      <c r="F97" s="324"/>
      <c r="G97" s="327"/>
    </row>
    <row r="98" spans="5:7" ht="18" customHeight="1">
      <c r="E98" s="324"/>
      <c r="F98" s="324"/>
      <c r="G98" s="327"/>
    </row>
    <row r="99" spans="5:7" ht="18" customHeight="1">
      <c r="E99" s="324"/>
      <c r="F99" s="324"/>
      <c r="G99" s="327"/>
    </row>
    <row r="100" spans="5:7" ht="18" customHeight="1">
      <c r="E100" s="324"/>
      <c r="F100" s="324"/>
      <c r="G100" s="327"/>
    </row>
    <row r="101" spans="5:7" ht="18" customHeight="1">
      <c r="E101" s="324"/>
      <c r="F101" s="324"/>
      <c r="G101" s="327"/>
    </row>
    <row r="102" spans="5:7" ht="18" customHeight="1">
      <c r="E102" s="324"/>
      <c r="F102" s="324"/>
      <c r="G102" s="327"/>
    </row>
    <row r="103" spans="5:7" ht="18" customHeight="1">
      <c r="E103" s="324"/>
      <c r="F103" s="324"/>
      <c r="G103" s="327"/>
    </row>
    <row r="104" spans="5:7" ht="18" customHeight="1">
      <c r="E104" s="324"/>
      <c r="F104" s="324"/>
      <c r="G104" s="327"/>
    </row>
    <row r="105" spans="5:7" ht="18" customHeight="1">
      <c r="E105" s="324"/>
      <c r="F105" s="324"/>
      <c r="G105" s="327"/>
    </row>
    <row r="106" spans="5:7" ht="18" customHeight="1">
      <c r="E106" s="324"/>
      <c r="F106" s="324"/>
      <c r="G106" s="327"/>
    </row>
    <row r="107" spans="5:7" ht="18" customHeight="1">
      <c r="E107" s="324"/>
      <c r="F107" s="324"/>
      <c r="G107" s="327"/>
    </row>
    <row r="108" spans="5:7" ht="18" customHeight="1">
      <c r="E108" s="324"/>
      <c r="F108" s="324"/>
      <c r="G108" s="327"/>
    </row>
    <row r="109" spans="5:7" ht="18" customHeight="1">
      <c r="E109" s="324"/>
      <c r="F109" s="324"/>
      <c r="G109" s="327"/>
    </row>
    <row r="110" spans="5:7" ht="18" customHeight="1">
      <c r="E110" s="324"/>
      <c r="F110" s="324"/>
      <c r="G110" s="327"/>
    </row>
    <row r="111" spans="5:7" ht="18" customHeight="1">
      <c r="E111" s="324"/>
      <c r="F111" s="324"/>
      <c r="G111" s="327"/>
    </row>
    <row r="112" spans="5:7" ht="18" customHeight="1">
      <c r="E112" s="324"/>
      <c r="F112" s="324"/>
      <c r="G112" s="327"/>
    </row>
    <row r="113" spans="5:7" ht="18" customHeight="1">
      <c r="E113" s="324"/>
      <c r="F113" s="324"/>
      <c r="G113" s="327"/>
    </row>
    <row r="114" spans="5:7" ht="18" customHeight="1">
      <c r="E114" s="324"/>
      <c r="F114" s="324"/>
      <c r="G114" s="327"/>
    </row>
    <row r="115" spans="5:7" ht="18" customHeight="1">
      <c r="E115" s="324"/>
      <c r="F115" s="324"/>
      <c r="G115" s="327"/>
    </row>
    <row r="116" spans="5:7" ht="18" customHeight="1">
      <c r="E116" s="324"/>
      <c r="F116" s="324"/>
      <c r="G116" s="327"/>
    </row>
    <row r="117" spans="5:7" ht="18" customHeight="1">
      <c r="E117" s="324"/>
      <c r="F117" s="324"/>
      <c r="G117" s="327"/>
    </row>
    <row r="118" spans="5:7" ht="18" customHeight="1">
      <c r="E118" s="324"/>
      <c r="F118" s="324"/>
      <c r="G118" s="327"/>
    </row>
    <row r="119" spans="5:7" ht="18" customHeight="1">
      <c r="E119" s="324"/>
      <c r="F119" s="324"/>
      <c r="G119" s="327"/>
    </row>
    <row r="120" spans="5:7" ht="18" customHeight="1">
      <c r="E120" s="324"/>
      <c r="F120" s="324"/>
      <c r="G120" s="327"/>
    </row>
    <row r="121" spans="5:7" ht="18" customHeight="1">
      <c r="E121" s="324"/>
      <c r="F121" s="324"/>
      <c r="G121" s="327"/>
    </row>
    <row r="122" spans="5:7" ht="18" customHeight="1">
      <c r="E122" s="324"/>
      <c r="F122" s="324"/>
      <c r="G122" s="327"/>
    </row>
    <row r="123" spans="5:7" ht="18" customHeight="1">
      <c r="E123" s="324"/>
      <c r="F123" s="324"/>
      <c r="G123" s="327"/>
    </row>
    <row r="124" spans="5:7" ht="18" customHeight="1">
      <c r="E124" s="324"/>
      <c r="F124" s="324"/>
      <c r="G124" s="327"/>
    </row>
    <row r="125" spans="5:7" ht="18" customHeight="1">
      <c r="E125" s="324"/>
      <c r="F125" s="324"/>
      <c r="G125" s="327"/>
    </row>
    <row r="126" spans="5:7" ht="18" customHeight="1">
      <c r="E126" s="324"/>
      <c r="F126" s="324"/>
      <c r="G126" s="327"/>
    </row>
    <row r="127" spans="5:7" ht="18" customHeight="1">
      <c r="E127" s="324"/>
      <c r="F127" s="324"/>
      <c r="G127" s="327"/>
    </row>
    <row r="128" spans="5:7" ht="18" customHeight="1">
      <c r="E128" s="324"/>
      <c r="F128" s="324"/>
      <c r="G128" s="327"/>
    </row>
    <row r="129" spans="5:7" ht="18" customHeight="1">
      <c r="E129" s="324"/>
      <c r="F129" s="324"/>
      <c r="G129" s="327"/>
    </row>
    <row r="130" spans="5:7" ht="18" customHeight="1">
      <c r="E130" s="324"/>
      <c r="F130" s="324"/>
      <c r="G130" s="327"/>
    </row>
    <row r="131" spans="5:7" ht="18" customHeight="1">
      <c r="E131" s="324"/>
      <c r="F131" s="324"/>
      <c r="G131" s="327"/>
    </row>
    <row r="132" spans="5:7" ht="18" customHeight="1">
      <c r="E132" s="324"/>
      <c r="F132" s="324"/>
      <c r="G132" s="327"/>
    </row>
    <row r="133" spans="5:7" ht="18" customHeight="1">
      <c r="E133" s="324"/>
      <c r="F133" s="324"/>
      <c r="G133" s="327"/>
    </row>
    <row r="134" spans="5:7" ht="18" customHeight="1">
      <c r="E134" s="324"/>
      <c r="F134" s="324"/>
      <c r="G134" s="327"/>
    </row>
    <row r="135" spans="5:7" ht="18" customHeight="1">
      <c r="E135" s="324"/>
      <c r="F135" s="324"/>
      <c r="G135" s="327"/>
    </row>
    <row r="136" spans="5:7" ht="18" customHeight="1">
      <c r="E136" s="324"/>
      <c r="F136" s="324"/>
      <c r="G136" s="327"/>
    </row>
    <row r="137" spans="5:7" ht="18" customHeight="1">
      <c r="E137" s="324"/>
      <c r="F137" s="324"/>
      <c r="G137" s="327"/>
    </row>
    <row r="138" spans="5:7" ht="18" customHeight="1">
      <c r="E138" s="324"/>
      <c r="F138" s="324"/>
      <c r="G138" s="327"/>
    </row>
    <row r="139" spans="5:7" ht="18" customHeight="1">
      <c r="E139" s="324"/>
      <c r="F139" s="324"/>
      <c r="G139" s="327"/>
    </row>
    <row r="140" spans="5:7" ht="18" customHeight="1">
      <c r="E140" s="324"/>
      <c r="F140" s="324"/>
      <c r="G140" s="327"/>
    </row>
  </sheetData>
  <mergeCells count="9">
    <mergeCell ref="A1:G1"/>
    <mergeCell ref="A2:A3"/>
    <mergeCell ref="B2:B3"/>
    <mergeCell ref="C2:C3"/>
    <mergeCell ref="D2:D3"/>
    <mergeCell ref="E2:E3"/>
    <mergeCell ref="F2:F3"/>
    <mergeCell ref="G2:G3"/>
    <mergeCell ref="A12:D12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landscape" paperSize="9"/>
  <headerFooter alignWithMargins="0">
    <oddHeader>&amp;R&amp;"Times New Roman,Normalny"&amp;12Załącznik Nr 13 do projektu uchwały Nr . Rady Miejskiej w Barlinku z dnia ........grudnia 2010</oddHeader>
    <oddFooter>&amp;C&amp;"Times New Roman,Normalny"&amp;12Strona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2"/>
  <sheetViews>
    <sheetView showGridLines="0" defaultGridColor="0" view="pageBreakPreview" zoomScaleSheetLayoutView="100" colorId="15" workbookViewId="0" topLeftCell="A1">
      <selection activeCell="D22" sqref="D22"/>
    </sheetView>
  </sheetViews>
  <sheetFormatPr defaultColWidth="9.00390625" defaultRowHeight="18" customHeight="1"/>
  <cols>
    <col min="1" max="1" width="6.00390625" style="304" customWidth="1"/>
    <col min="2" max="2" width="8.25390625" style="305" customWidth="1"/>
    <col min="3" max="3" width="5.875" style="305" customWidth="1"/>
    <col min="4" max="4" width="70.75390625" style="306" customWidth="1"/>
    <col min="5" max="8" width="12.75390625" style="305" customWidth="1"/>
    <col min="9" max="16384" width="9.00390625" style="305" customWidth="1"/>
  </cols>
  <sheetData>
    <row r="1" spans="1:8" ht="46.5" customHeight="1">
      <c r="A1" s="307" t="s">
        <v>459</v>
      </c>
      <c r="B1" s="307"/>
      <c r="C1" s="307"/>
      <c r="D1" s="307"/>
      <c r="E1" s="307"/>
      <c r="F1" s="307"/>
      <c r="G1" s="307"/>
      <c r="H1" s="307"/>
    </row>
    <row r="2" spans="1:8" s="135" customFormat="1" ht="16.5" customHeight="1">
      <c r="A2" s="308" t="s">
        <v>66</v>
      </c>
      <c r="B2" s="309" t="s">
        <v>86</v>
      </c>
      <c r="C2" s="328" t="s">
        <v>87</v>
      </c>
      <c r="D2" s="309" t="s">
        <v>88</v>
      </c>
      <c r="E2" s="309" t="s">
        <v>460</v>
      </c>
      <c r="F2" s="309" t="s">
        <v>461</v>
      </c>
      <c r="G2" s="309" t="s">
        <v>462</v>
      </c>
      <c r="H2" s="329" t="s">
        <v>450</v>
      </c>
    </row>
    <row r="3" spans="1:8" s="136" customFormat="1" ht="34.5" customHeight="1">
      <c r="A3" s="308"/>
      <c r="B3" s="309"/>
      <c r="C3" s="328"/>
      <c r="D3" s="309"/>
      <c r="E3" s="309"/>
      <c r="F3" s="309"/>
      <c r="G3" s="309"/>
      <c r="H3" s="329"/>
    </row>
    <row r="4" spans="1:8" s="315" customFormat="1" ht="12.75" customHeight="1">
      <c r="A4" s="312">
        <v>1</v>
      </c>
      <c r="B4" s="313">
        <v>2</v>
      </c>
      <c r="C4" s="330">
        <v>3</v>
      </c>
      <c r="D4" s="313">
        <v>4</v>
      </c>
      <c r="E4" s="313">
        <v>5</v>
      </c>
      <c r="F4" s="313">
        <v>6</v>
      </c>
      <c r="G4" s="313">
        <v>7</v>
      </c>
      <c r="H4" s="331">
        <v>8</v>
      </c>
    </row>
    <row r="5" spans="1:8" ht="18" customHeight="1">
      <c r="A5" s="316" t="s">
        <v>79</v>
      </c>
      <c r="B5" s="316">
        <v>80110</v>
      </c>
      <c r="C5" s="332"/>
      <c r="D5" s="317" t="s">
        <v>190</v>
      </c>
      <c r="E5" s="321">
        <f>SUM(E6:E11)</f>
        <v>11405</v>
      </c>
      <c r="F5" s="321">
        <f>SUM(F6:F11)</f>
        <v>15421</v>
      </c>
      <c r="G5" s="321">
        <f>SUM(G6:G11)</f>
        <v>93</v>
      </c>
      <c r="H5" s="321">
        <f>SUM(H6:H11)</f>
        <v>26919</v>
      </c>
    </row>
    <row r="6" spans="1:8" ht="18" customHeight="1">
      <c r="A6" s="316"/>
      <c r="B6" s="316"/>
      <c r="C6" s="333" t="s">
        <v>110</v>
      </c>
      <c r="D6" s="86" t="s">
        <v>182</v>
      </c>
      <c r="E6" s="319">
        <v>100</v>
      </c>
      <c r="F6" s="319"/>
      <c r="G6" s="319"/>
      <c r="H6" s="319">
        <f>SUM(E6,F6,G6)</f>
        <v>100</v>
      </c>
    </row>
    <row r="7" spans="1:8" ht="48" customHeight="1">
      <c r="A7" s="85"/>
      <c r="B7" s="85"/>
      <c r="C7" s="333" t="s">
        <v>96</v>
      </c>
      <c r="D7" s="86" t="s">
        <v>451</v>
      </c>
      <c r="E7" s="320">
        <v>300</v>
      </c>
      <c r="F7" s="320">
        <v>8150</v>
      </c>
      <c r="G7" s="320">
        <v>0</v>
      </c>
      <c r="H7" s="319">
        <f>SUM(E7,F7)</f>
        <v>8450</v>
      </c>
    </row>
    <row r="8" spans="1:8" ht="18" customHeight="1">
      <c r="A8" s="85"/>
      <c r="B8" s="85"/>
      <c r="C8" s="333" t="s">
        <v>125</v>
      </c>
      <c r="D8" s="86" t="s">
        <v>126</v>
      </c>
      <c r="E8" s="320">
        <v>0</v>
      </c>
      <c r="F8" s="320">
        <v>1110</v>
      </c>
      <c r="G8" s="320">
        <v>0</v>
      </c>
      <c r="H8" s="319">
        <f>SUM(E8,F8)</f>
        <v>1110</v>
      </c>
    </row>
    <row r="9" spans="1:8" ht="18" customHeight="1">
      <c r="A9" s="85"/>
      <c r="B9" s="85"/>
      <c r="C9" s="333" t="s">
        <v>117</v>
      </c>
      <c r="D9" s="86" t="s">
        <v>118</v>
      </c>
      <c r="E9" s="320">
        <v>1500</v>
      </c>
      <c r="F9" s="320">
        <v>2000</v>
      </c>
      <c r="G9" s="325">
        <v>15</v>
      </c>
      <c r="H9" s="319">
        <f>SUM(E9,F9,G9)</f>
        <v>3515</v>
      </c>
    </row>
    <row r="10" spans="1:8" ht="18" customHeight="1">
      <c r="A10" s="84"/>
      <c r="B10" s="85"/>
      <c r="C10" s="333" t="s">
        <v>183</v>
      </c>
      <c r="D10" s="86" t="s">
        <v>184</v>
      </c>
      <c r="E10" s="320">
        <f>1001+1502+7002</f>
        <v>9505</v>
      </c>
      <c r="F10" s="320">
        <v>4161</v>
      </c>
      <c r="G10" s="325"/>
      <c r="H10" s="319">
        <f>SUM(E10,F10,G10)</f>
        <v>13666</v>
      </c>
    </row>
    <row r="11" spans="1:8" ht="18" customHeight="1">
      <c r="A11" s="85"/>
      <c r="B11" s="85"/>
      <c r="C11" s="333" t="s">
        <v>165</v>
      </c>
      <c r="D11" s="86" t="s">
        <v>463</v>
      </c>
      <c r="E11" s="320">
        <v>0</v>
      </c>
      <c r="F11" s="320">
        <v>0</v>
      </c>
      <c r="G11" s="325">
        <v>78</v>
      </c>
      <c r="H11" s="319">
        <f>SUM(G11)</f>
        <v>78</v>
      </c>
    </row>
    <row r="12" spans="1:8" ht="18" customHeight="1">
      <c r="A12" s="85"/>
      <c r="B12" s="316" t="s">
        <v>455</v>
      </c>
      <c r="C12" s="333"/>
      <c r="D12" s="317" t="s">
        <v>192</v>
      </c>
      <c r="E12" s="321">
        <f>SUM(E13)</f>
        <v>132600</v>
      </c>
      <c r="F12" s="321">
        <f>SUM(F13)</f>
        <v>222132</v>
      </c>
      <c r="G12" s="321">
        <f>SUM(G13)</f>
        <v>0</v>
      </c>
      <c r="H12" s="321">
        <f>SUM(H13)</f>
        <v>354732</v>
      </c>
    </row>
    <row r="13" spans="1:8" ht="18" customHeight="1">
      <c r="A13" s="85"/>
      <c r="B13" s="316"/>
      <c r="C13" s="333" t="s">
        <v>452</v>
      </c>
      <c r="D13" s="86" t="s">
        <v>126</v>
      </c>
      <c r="E13" s="320">
        <v>132600</v>
      </c>
      <c r="F13" s="320">
        <v>222132</v>
      </c>
      <c r="G13" s="325">
        <v>0</v>
      </c>
      <c r="H13" s="319">
        <f>SUM(E13,F13)</f>
        <v>354732</v>
      </c>
    </row>
    <row r="14" spans="1:8" ht="18" customHeight="1">
      <c r="A14" s="322" t="s">
        <v>228</v>
      </c>
      <c r="B14" s="322"/>
      <c r="C14" s="322"/>
      <c r="D14" s="322"/>
      <c r="E14" s="323">
        <f>E5+E12</f>
        <v>144005</v>
      </c>
      <c r="F14" s="323">
        <f>F5+F12</f>
        <v>237553</v>
      </c>
      <c r="G14" s="323">
        <f>G5+G12</f>
        <v>93</v>
      </c>
      <c r="H14" s="323">
        <f>H5+H12</f>
        <v>381651</v>
      </c>
    </row>
    <row r="15" spans="5:7" ht="18" customHeight="1">
      <c r="E15" s="324"/>
      <c r="F15" s="324"/>
      <c r="G15" s="327"/>
    </row>
    <row r="16" spans="5:7" ht="18" customHeight="1">
      <c r="E16" s="324"/>
      <c r="F16" s="324"/>
      <c r="G16" s="327"/>
    </row>
    <row r="17" spans="5:7" ht="18" customHeight="1">
      <c r="E17" s="324"/>
      <c r="F17" s="324"/>
      <c r="G17" s="327"/>
    </row>
    <row r="18" spans="5:7" ht="18" customHeight="1">
      <c r="E18" s="324"/>
      <c r="F18" s="324"/>
      <c r="G18" s="327"/>
    </row>
    <row r="19" spans="5:7" ht="18" customHeight="1">
      <c r="E19" s="324"/>
      <c r="F19" s="324"/>
      <c r="G19" s="327"/>
    </row>
    <row r="20" spans="5:7" ht="18" customHeight="1">
      <c r="E20" s="324"/>
      <c r="F20" s="324"/>
      <c r="G20" s="327"/>
    </row>
    <row r="21" spans="5:7" ht="18" customHeight="1">
      <c r="E21" s="324"/>
      <c r="F21" s="324"/>
      <c r="G21" s="327"/>
    </row>
    <row r="22" spans="5:7" ht="18" customHeight="1">
      <c r="E22" s="324"/>
      <c r="F22" s="324"/>
      <c r="G22" s="327"/>
    </row>
    <row r="23" spans="5:7" ht="18" customHeight="1">
      <c r="E23" s="324"/>
      <c r="F23" s="324"/>
      <c r="G23" s="327"/>
    </row>
    <row r="24" spans="5:7" ht="18" customHeight="1">
      <c r="E24" s="324"/>
      <c r="F24" s="324"/>
      <c r="G24" s="327"/>
    </row>
    <row r="25" spans="5:7" ht="18" customHeight="1">
      <c r="E25" s="324"/>
      <c r="F25" s="324"/>
      <c r="G25" s="327"/>
    </row>
    <row r="26" spans="5:7" ht="18" customHeight="1">
      <c r="E26" s="324"/>
      <c r="F26" s="324"/>
      <c r="G26" s="327"/>
    </row>
    <row r="27" spans="5:7" ht="18" customHeight="1">
      <c r="E27" s="324"/>
      <c r="F27" s="324"/>
      <c r="G27" s="327"/>
    </row>
    <row r="28" spans="5:7" ht="18" customHeight="1">
      <c r="E28" s="324"/>
      <c r="F28" s="324"/>
      <c r="G28" s="327"/>
    </row>
    <row r="29" spans="5:7" ht="18" customHeight="1">
      <c r="E29" s="324"/>
      <c r="F29" s="324"/>
      <c r="G29" s="327"/>
    </row>
    <row r="30" spans="5:7" ht="18" customHeight="1">
      <c r="E30" s="324"/>
      <c r="F30" s="324"/>
      <c r="G30" s="327"/>
    </row>
    <row r="31" spans="5:7" ht="18" customHeight="1">
      <c r="E31" s="324"/>
      <c r="F31" s="324"/>
      <c r="G31" s="327"/>
    </row>
    <row r="32" spans="5:7" ht="18" customHeight="1">
      <c r="E32" s="324"/>
      <c r="F32" s="324"/>
      <c r="G32" s="327"/>
    </row>
    <row r="33" spans="5:7" ht="18" customHeight="1">
      <c r="E33" s="324"/>
      <c r="F33" s="324"/>
      <c r="G33" s="327"/>
    </row>
    <row r="34" spans="5:7" ht="18" customHeight="1">
      <c r="E34" s="324"/>
      <c r="F34" s="324"/>
      <c r="G34" s="327"/>
    </row>
    <row r="35" spans="5:7" ht="18" customHeight="1">
      <c r="E35" s="324"/>
      <c r="F35" s="324"/>
      <c r="G35" s="327"/>
    </row>
    <row r="36" spans="5:7" ht="18" customHeight="1">
      <c r="E36" s="324"/>
      <c r="F36" s="324"/>
      <c r="G36" s="327"/>
    </row>
    <row r="37" spans="5:7" ht="18" customHeight="1">
      <c r="E37" s="324"/>
      <c r="F37" s="324"/>
      <c r="G37" s="327"/>
    </row>
    <row r="38" spans="5:7" ht="18" customHeight="1">
      <c r="E38" s="324"/>
      <c r="F38" s="324"/>
      <c r="G38" s="327"/>
    </row>
    <row r="39" spans="5:7" ht="18" customHeight="1">
      <c r="E39" s="324"/>
      <c r="F39" s="324"/>
      <c r="G39" s="327"/>
    </row>
    <row r="40" spans="5:7" ht="18" customHeight="1">
      <c r="E40" s="324"/>
      <c r="F40" s="324"/>
      <c r="G40" s="327"/>
    </row>
    <row r="41" spans="5:7" ht="18" customHeight="1">
      <c r="E41" s="324"/>
      <c r="F41" s="324"/>
      <c r="G41" s="327"/>
    </row>
    <row r="42" spans="5:7" ht="18" customHeight="1">
      <c r="E42" s="324"/>
      <c r="F42" s="324"/>
      <c r="G42" s="327"/>
    </row>
    <row r="43" spans="5:7" ht="18" customHeight="1">
      <c r="E43" s="324"/>
      <c r="F43" s="324"/>
      <c r="G43" s="327"/>
    </row>
    <row r="44" spans="5:7" ht="18" customHeight="1">
      <c r="E44" s="324"/>
      <c r="F44" s="324"/>
      <c r="G44" s="327"/>
    </row>
    <row r="45" spans="5:7" ht="18" customHeight="1">
      <c r="E45" s="324"/>
      <c r="F45" s="324"/>
      <c r="G45" s="327"/>
    </row>
    <row r="46" spans="5:7" ht="18" customHeight="1">
      <c r="E46" s="324"/>
      <c r="F46" s="324"/>
      <c r="G46" s="327"/>
    </row>
    <row r="47" spans="5:7" ht="18" customHeight="1">
      <c r="E47" s="324"/>
      <c r="F47" s="324"/>
      <c r="G47" s="327"/>
    </row>
    <row r="48" spans="5:7" ht="18" customHeight="1">
      <c r="E48" s="324"/>
      <c r="F48" s="324"/>
      <c r="G48" s="327"/>
    </row>
    <row r="49" spans="5:7" ht="18" customHeight="1">
      <c r="E49" s="324"/>
      <c r="F49" s="324"/>
      <c r="G49" s="327"/>
    </row>
    <row r="50" spans="5:7" ht="18" customHeight="1">
      <c r="E50" s="324"/>
      <c r="F50" s="324"/>
      <c r="G50" s="327"/>
    </row>
    <row r="51" spans="5:7" ht="18" customHeight="1">
      <c r="E51" s="324"/>
      <c r="F51" s="324"/>
      <c r="G51" s="327"/>
    </row>
    <row r="52" spans="5:7" ht="18" customHeight="1">
      <c r="E52" s="324"/>
      <c r="F52" s="324"/>
      <c r="G52" s="327"/>
    </row>
    <row r="53" spans="5:7" ht="18" customHeight="1">
      <c r="E53" s="324"/>
      <c r="F53" s="324"/>
      <c r="G53" s="327"/>
    </row>
    <row r="54" spans="5:7" ht="18" customHeight="1">
      <c r="E54" s="324"/>
      <c r="F54" s="324"/>
      <c r="G54" s="327"/>
    </row>
    <row r="55" spans="5:7" ht="18" customHeight="1">
      <c r="E55" s="324"/>
      <c r="F55" s="324"/>
      <c r="G55" s="327"/>
    </row>
    <row r="56" spans="5:7" ht="18" customHeight="1">
      <c r="E56" s="324"/>
      <c r="F56" s="324"/>
      <c r="G56" s="327"/>
    </row>
    <row r="57" spans="5:7" ht="18" customHeight="1">
      <c r="E57" s="324"/>
      <c r="F57" s="324"/>
      <c r="G57" s="327"/>
    </row>
    <row r="58" spans="5:7" ht="18" customHeight="1">
      <c r="E58" s="324"/>
      <c r="F58" s="324"/>
      <c r="G58" s="327"/>
    </row>
    <row r="59" spans="5:7" ht="18" customHeight="1">
      <c r="E59" s="324"/>
      <c r="F59" s="324"/>
      <c r="G59" s="327"/>
    </row>
    <row r="60" spans="5:7" ht="18" customHeight="1">
      <c r="E60" s="324"/>
      <c r="F60" s="324"/>
      <c r="G60" s="327"/>
    </row>
    <row r="61" spans="5:7" ht="18" customHeight="1">
      <c r="E61" s="324"/>
      <c r="F61" s="324"/>
      <c r="G61" s="327"/>
    </row>
    <row r="62" spans="5:7" ht="18" customHeight="1">
      <c r="E62" s="324"/>
      <c r="F62" s="324"/>
      <c r="G62" s="327"/>
    </row>
    <row r="63" spans="5:7" ht="18" customHeight="1">
      <c r="E63" s="324"/>
      <c r="F63" s="324"/>
      <c r="G63" s="327"/>
    </row>
    <row r="64" spans="5:7" ht="18" customHeight="1">
      <c r="E64" s="324"/>
      <c r="F64" s="324"/>
      <c r="G64" s="327"/>
    </row>
    <row r="65" spans="5:7" ht="18" customHeight="1">
      <c r="E65" s="324"/>
      <c r="F65" s="324"/>
      <c r="G65" s="327"/>
    </row>
    <row r="66" spans="5:7" ht="18" customHeight="1">
      <c r="E66" s="324"/>
      <c r="F66" s="324"/>
      <c r="G66" s="327"/>
    </row>
    <row r="67" spans="5:7" ht="18" customHeight="1">
      <c r="E67" s="324"/>
      <c r="F67" s="324"/>
      <c r="G67" s="327"/>
    </row>
    <row r="68" spans="5:7" ht="18" customHeight="1">
      <c r="E68" s="324"/>
      <c r="F68" s="324"/>
      <c r="G68" s="327"/>
    </row>
    <row r="69" spans="5:7" ht="18" customHeight="1">
      <c r="E69" s="324"/>
      <c r="F69" s="324"/>
      <c r="G69" s="327"/>
    </row>
    <row r="70" spans="5:7" ht="18" customHeight="1">
      <c r="E70" s="324"/>
      <c r="F70" s="324"/>
      <c r="G70" s="327"/>
    </row>
    <row r="71" spans="5:7" ht="18" customHeight="1">
      <c r="E71" s="324"/>
      <c r="F71" s="324"/>
      <c r="G71" s="327"/>
    </row>
    <row r="72" spans="5:7" ht="18" customHeight="1">
      <c r="E72" s="324"/>
      <c r="F72" s="324"/>
      <c r="G72" s="327"/>
    </row>
    <row r="73" spans="5:7" ht="18" customHeight="1">
      <c r="E73" s="324"/>
      <c r="F73" s="324"/>
      <c r="G73" s="327"/>
    </row>
    <row r="74" spans="5:7" ht="18" customHeight="1">
      <c r="E74" s="324"/>
      <c r="F74" s="324"/>
      <c r="G74" s="327"/>
    </row>
    <row r="75" spans="5:7" ht="18" customHeight="1">
      <c r="E75" s="324"/>
      <c r="F75" s="324"/>
      <c r="G75" s="327"/>
    </row>
    <row r="76" spans="5:7" ht="18" customHeight="1">
      <c r="E76" s="324"/>
      <c r="F76" s="324"/>
      <c r="G76" s="327"/>
    </row>
    <row r="77" spans="5:7" ht="18" customHeight="1">
      <c r="E77" s="324"/>
      <c r="F77" s="324"/>
      <c r="G77" s="327"/>
    </row>
    <row r="78" spans="5:7" ht="18" customHeight="1">
      <c r="E78" s="324"/>
      <c r="F78" s="324"/>
      <c r="G78" s="327"/>
    </row>
    <row r="79" spans="5:7" ht="18" customHeight="1">
      <c r="E79" s="324"/>
      <c r="F79" s="324"/>
      <c r="G79" s="327"/>
    </row>
    <row r="80" spans="5:7" ht="18" customHeight="1">
      <c r="E80" s="324"/>
      <c r="F80" s="324"/>
      <c r="G80" s="327"/>
    </row>
    <row r="81" spans="5:7" ht="18" customHeight="1">
      <c r="E81" s="324"/>
      <c r="F81" s="324"/>
      <c r="G81" s="327"/>
    </row>
    <row r="82" spans="5:7" ht="18" customHeight="1">
      <c r="E82" s="324"/>
      <c r="F82" s="324"/>
      <c r="G82" s="327"/>
    </row>
    <row r="83" spans="5:7" ht="18" customHeight="1">
      <c r="E83" s="324"/>
      <c r="F83" s="324"/>
      <c r="G83" s="327"/>
    </row>
    <row r="84" spans="5:7" ht="18" customHeight="1">
      <c r="E84" s="324"/>
      <c r="F84" s="324"/>
      <c r="G84" s="327"/>
    </row>
    <row r="85" spans="5:7" ht="18" customHeight="1">
      <c r="E85" s="324"/>
      <c r="F85" s="324"/>
      <c r="G85" s="327"/>
    </row>
    <row r="86" spans="5:7" ht="18" customHeight="1">
      <c r="E86" s="324"/>
      <c r="F86" s="324"/>
      <c r="G86" s="327"/>
    </row>
    <row r="87" spans="5:7" ht="18" customHeight="1">
      <c r="E87" s="324"/>
      <c r="F87" s="324"/>
      <c r="G87" s="327"/>
    </row>
    <row r="88" spans="5:7" ht="18" customHeight="1">
      <c r="E88" s="324"/>
      <c r="F88" s="324"/>
      <c r="G88" s="327"/>
    </row>
    <row r="89" spans="5:7" ht="18" customHeight="1">
      <c r="E89" s="324"/>
      <c r="F89" s="324"/>
      <c r="G89" s="327"/>
    </row>
    <row r="90" spans="5:7" ht="18" customHeight="1">
      <c r="E90" s="324"/>
      <c r="F90" s="324"/>
      <c r="G90" s="327"/>
    </row>
    <row r="91" spans="5:7" ht="18" customHeight="1">
      <c r="E91" s="324"/>
      <c r="F91" s="324"/>
      <c r="G91" s="327"/>
    </row>
    <row r="92" spans="5:7" ht="18" customHeight="1">
      <c r="E92" s="324"/>
      <c r="F92" s="324"/>
      <c r="G92" s="327"/>
    </row>
    <row r="93" spans="5:7" ht="18" customHeight="1">
      <c r="E93" s="324"/>
      <c r="F93" s="324"/>
      <c r="G93" s="327"/>
    </row>
    <row r="94" spans="5:7" ht="18" customHeight="1">
      <c r="E94" s="324"/>
      <c r="F94" s="324"/>
      <c r="G94" s="327"/>
    </row>
    <row r="95" spans="5:7" ht="18" customHeight="1">
      <c r="E95" s="324"/>
      <c r="F95" s="324"/>
      <c r="G95" s="327"/>
    </row>
    <row r="96" spans="5:7" ht="18" customHeight="1">
      <c r="E96" s="324"/>
      <c r="F96" s="324"/>
      <c r="G96" s="327"/>
    </row>
    <row r="97" spans="5:7" ht="18" customHeight="1">
      <c r="E97" s="324"/>
      <c r="F97" s="324"/>
      <c r="G97" s="327"/>
    </row>
    <row r="98" spans="5:7" ht="18" customHeight="1">
      <c r="E98" s="324"/>
      <c r="F98" s="324"/>
      <c r="G98" s="327"/>
    </row>
    <row r="99" spans="5:7" ht="18" customHeight="1">
      <c r="E99" s="324"/>
      <c r="F99" s="324"/>
      <c r="G99" s="327"/>
    </row>
    <row r="100" spans="5:7" ht="18" customHeight="1">
      <c r="E100" s="324"/>
      <c r="F100" s="324"/>
      <c r="G100" s="327"/>
    </row>
    <row r="101" spans="5:7" ht="18" customHeight="1">
      <c r="E101" s="324"/>
      <c r="F101" s="324"/>
      <c r="G101" s="327"/>
    </row>
    <row r="102" spans="5:7" ht="18" customHeight="1">
      <c r="E102" s="324"/>
      <c r="F102" s="324"/>
      <c r="G102" s="327"/>
    </row>
    <row r="103" spans="5:7" ht="18" customHeight="1">
      <c r="E103" s="324"/>
      <c r="F103" s="324"/>
      <c r="G103" s="327"/>
    </row>
    <row r="104" spans="5:7" ht="18" customHeight="1">
      <c r="E104" s="324"/>
      <c r="F104" s="324"/>
      <c r="G104" s="327"/>
    </row>
    <row r="105" spans="5:7" ht="18" customHeight="1">
      <c r="E105" s="324"/>
      <c r="F105" s="324"/>
      <c r="G105" s="327"/>
    </row>
    <row r="106" spans="5:7" ht="18" customHeight="1">
      <c r="E106" s="324"/>
      <c r="F106" s="324"/>
      <c r="G106" s="327"/>
    </row>
    <row r="107" spans="5:7" ht="18" customHeight="1">
      <c r="E107" s="324"/>
      <c r="F107" s="324"/>
      <c r="G107" s="327"/>
    </row>
    <row r="108" spans="5:7" ht="18" customHeight="1">
      <c r="E108" s="324"/>
      <c r="F108" s="324"/>
      <c r="G108" s="327"/>
    </row>
    <row r="109" spans="5:7" ht="18" customHeight="1">
      <c r="E109" s="324"/>
      <c r="F109" s="324"/>
      <c r="G109" s="327"/>
    </row>
    <row r="110" spans="5:7" ht="18" customHeight="1">
      <c r="E110" s="324"/>
      <c r="F110" s="324"/>
      <c r="G110" s="327"/>
    </row>
    <row r="111" spans="5:7" ht="18" customHeight="1">
      <c r="E111" s="324"/>
      <c r="F111" s="324"/>
      <c r="G111" s="327"/>
    </row>
    <row r="112" spans="5:7" ht="18" customHeight="1">
      <c r="E112" s="324"/>
      <c r="F112" s="324"/>
      <c r="G112" s="327"/>
    </row>
    <row r="113" spans="5:7" ht="18" customHeight="1">
      <c r="E113" s="324"/>
      <c r="F113" s="324"/>
      <c r="G113" s="327"/>
    </row>
    <row r="114" spans="5:7" ht="18" customHeight="1">
      <c r="E114" s="324"/>
      <c r="F114" s="324"/>
      <c r="G114" s="327"/>
    </row>
    <row r="115" spans="5:7" ht="18" customHeight="1">
      <c r="E115" s="324"/>
      <c r="F115" s="324"/>
      <c r="G115" s="327"/>
    </row>
    <row r="116" spans="5:7" ht="18" customHeight="1">
      <c r="E116" s="324"/>
      <c r="F116" s="324"/>
      <c r="G116" s="327"/>
    </row>
    <row r="117" spans="5:7" ht="18" customHeight="1">
      <c r="E117" s="324"/>
      <c r="F117" s="324"/>
      <c r="G117" s="327"/>
    </row>
    <row r="118" spans="5:7" ht="18" customHeight="1">
      <c r="E118" s="324"/>
      <c r="F118" s="324"/>
      <c r="G118" s="327"/>
    </row>
    <row r="119" spans="5:7" ht="18" customHeight="1">
      <c r="E119" s="324"/>
      <c r="F119" s="324"/>
      <c r="G119" s="327"/>
    </row>
    <row r="120" spans="5:7" ht="18" customHeight="1">
      <c r="E120" s="324"/>
      <c r="F120" s="324"/>
      <c r="G120" s="327"/>
    </row>
    <row r="121" spans="5:7" ht="18" customHeight="1">
      <c r="E121" s="324"/>
      <c r="F121" s="324"/>
      <c r="G121" s="327"/>
    </row>
    <row r="122" spans="5:7" ht="18" customHeight="1">
      <c r="E122" s="324"/>
      <c r="F122" s="324"/>
      <c r="G122" s="327"/>
    </row>
    <row r="123" spans="5:7" ht="18" customHeight="1">
      <c r="E123" s="324"/>
      <c r="F123" s="324"/>
      <c r="G123" s="327"/>
    </row>
    <row r="124" spans="5:7" ht="18" customHeight="1">
      <c r="E124" s="324"/>
      <c r="F124" s="324"/>
      <c r="G124" s="327"/>
    </row>
    <row r="125" spans="5:7" ht="18" customHeight="1">
      <c r="E125" s="324"/>
      <c r="F125" s="324"/>
      <c r="G125" s="327"/>
    </row>
    <row r="126" spans="5:7" ht="18" customHeight="1">
      <c r="E126" s="324"/>
      <c r="F126" s="324"/>
      <c r="G126" s="327"/>
    </row>
    <row r="127" spans="5:7" ht="18" customHeight="1">
      <c r="E127" s="324"/>
      <c r="F127" s="324"/>
      <c r="G127" s="327"/>
    </row>
    <row r="128" spans="5:7" ht="18" customHeight="1">
      <c r="E128" s="324"/>
      <c r="F128" s="324"/>
      <c r="G128" s="327"/>
    </row>
    <row r="129" spans="5:7" ht="18" customHeight="1">
      <c r="E129" s="324"/>
      <c r="F129" s="324"/>
      <c r="G129" s="327"/>
    </row>
    <row r="130" spans="5:7" ht="18" customHeight="1">
      <c r="E130" s="324"/>
      <c r="F130" s="324"/>
      <c r="G130" s="327"/>
    </row>
    <row r="131" spans="5:7" ht="18" customHeight="1">
      <c r="E131" s="324"/>
      <c r="F131" s="324"/>
      <c r="G131" s="327"/>
    </row>
    <row r="132" spans="5:7" ht="18" customHeight="1">
      <c r="E132" s="324"/>
      <c r="F132" s="324"/>
      <c r="G132" s="327"/>
    </row>
    <row r="133" spans="5:7" ht="18" customHeight="1">
      <c r="E133" s="324"/>
      <c r="F133" s="324"/>
      <c r="G133" s="327"/>
    </row>
    <row r="134" spans="5:7" ht="18" customHeight="1">
      <c r="E134" s="324"/>
      <c r="F134" s="324"/>
      <c r="G134" s="327"/>
    </row>
    <row r="135" spans="5:7" ht="18" customHeight="1">
      <c r="E135" s="324"/>
      <c r="F135" s="324"/>
      <c r="G135" s="327"/>
    </row>
    <row r="136" spans="5:7" ht="18" customHeight="1">
      <c r="E136" s="324"/>
      <c r="F136" s="324"/>
      <c r="G136" s="327"/>
    </row>
    <row r="137" spans="5:7" ht="18" customHeight="1">
      <c r="E137" s="324"/>
      <c r="F137" s="324"/>
      <c r="G137" s="327"/>
    </row>
    <row r="138" spans="5:7" ht="18" customHeight="1">
      <c r="E138" s="324"/>
      <c r="F138" s="324"/>
      <c r="G138" s="327"/>
    </row>
    <row r="139" spans="5:7" ht="18" customHeight="1">
      <c r="E139" s="324"/>
      <c r="F139" s="324"/>
      <c r="G139" s="327"/>
    </row>
    <row r="140" spans="5:7" ht="18" customHeight="1">
      <c r="E140" s="324"/>
      <c r="F140" s="324"/>
      <c r="G140" s="327"/>
    </row>
    <row r="141" spans="5:7" ht="18" customHeight="1">
      <c r="E141" s="324"/>
      <c r="F141" s="324"/>
      <c r="G141" s="327"/>
    </row>
    <row r="142" spans="5:7" ht="18" customHeight="1">
      <c r="E142" s="324"/>
      <c r="F142" s="324"/>
      <c r="G142" s="327"/>
    </row>
  </sheetData>
  <mergeCells count="10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14:D14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landscape" paperSize="9" scale="96"/>
  <headerFooter alignWithMargins="0">
    <oddHeader>&amp;R&amp;"Times New Roman,Normalny"&amp;12Załącznik Nr 14 do projektu uchwały Nr . Rady Miejskiej w Barlinku z dnia ........grudnia 2010</oddHeader>
    <oddFooter>&amp;C&amp;"Times New Roman,Normalny"&amp;12Strona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9"/>
  <sheetViews>
    <sheetView showGridLines="0" defaultGridColor="0" view="pageBreakPreview" zoomScaleSheetLayoutView="100" colorId="15" workbookViewId="0" topLeftCell="B1">
      <pane ySplit="6" topLeftCell="A55" activePane="bottomLeft" state="frozen"/>
      <selection pane="topLeft" activeCell="B1" sqref="B1"/>
      <selection pane="bottomLeft" activeCell="G64" sqref="G64"/>
    </sheetView>
  </sheetViews>
  <sheetFormatPr defaultColWidth="9.00390625" defaultRowHeight="18" customHeight="1"/>
  <cols>
    <col min="1" max="1" width="5.00390625" style="334" customWidth="1"/>
    <col min="2" max="2" width="7.375" style="334" customWidth="1"/>
    <col min="3" max="3" width="6.125" style="335" customWidth="1"/>
    <col min="4" max="4" width="45.50390625" style="336" customWidth="1"/>
    <col min="5" max="5" width="9.50390625" style="335" customWidth="1"/>
    <col min="6" max="6" width="9.375" style="335" customWidth="1"/>
    <col min="7" max="7" width="10.25390625" style="335" customWidth="1"/>
    <col min="8" max="8" width="10.375" style="335" customWidth="1"/>
    <col min="9" max="9" width="9.50390625" style="335" customWidth="1"/>
    <col min="10" max="10" width="7.875" style="335" customWidth="1"/>
    <col min="11" max="14" width="7.75390625" style="335" customWidth="1"/>
    <col min="15" max="15" width="8.00390625" style="335" customWidth="1"/>
    <col min="16" max="17" width="8.50390625" style="335" customWidth="1"/>
    <col min="18" max="18" width="7.50390625" style="335" customWidth="1"/>
    <col min="19" max="16384" width="9.125" style="337" customWidth="1"/>
  </cols>
  <sheetData>
    <row r="1" spans="1:18" ht="39.75" customHeight="1">
      <c r="A1" s="338" t="s">
        <v>464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ht="13.5" customHeight="1">
      <c r="A2" s="168" t="s">
        <v>66</v>
      </c>
      <c r="B2" s="339" t="s">
        <v>86</v>
      </c>
      <c r="C2" s="339" t="s">
        <v>87</v>
      </c>
      <c r="D2" s="339" t="s">
        <v>251</v>
      </c>
      <c r="E2" s="339" t="s">
        <v>252</v>
      </c>
      <c r="F2" s="340" t="s">
        <v>253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1:18" ht="13.5" customHeight="1">
      <c r="A3" s="168"/>
      <c r="B3" s="339"/>
      <c r="C3" s="339"/>
      <c r="D3" s="339"/>
      <c r="E3" s="339"/>
      <c r="F3" s="256" t="s">
        <v>242</v>
      </c>
      <c r="G3" s="255" t="s">
        <v>90</v>
      </c>
      <c r="H3" s="255"/>
      <c r="I3" s="255"/>
      <c r="J3" s="255"/>
      <c r="K3" s="255"/>
      <c r="L3" s="255"/>
      <c r="M3" s="255"/>
      <c r="N3" s="255"/>
      <c r="O3" s="254" t="s">
        <v>254</v>
      </c>
      <c r="P3" s="255" t="s">
        <v>90</v>
      </c>
      <c r="Q3" s="255"/>
      <c r="R3" s="255"/>
    </row>
    <row r="4" spans="1:18" ht="13.5" customHeight="1">
      <c r="A4" s="168"/>
      <c r="B4" s="339"/>
      <c r="C4" s="339"/>
      <c r="D4" s="339"/>
      <c r="E4" s="339"/>
      <c r="F4" s="256"/>
      <c r="G4" s="256" t="s">
        <v>255</v>
      </c>
      <c r="H4" s="255" t="s">
        <v>13</v>
      </c>
      <c r="I4" s="255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254"/>
      <c r="P4" s="254" t="s">
        <v>260</v>
      </c>
      <c r="Q4" s="255" t="s">
        <v>90</v>
      </c>
      <c r="R4" s="254" t="s">
        <v>261</v>
      </c>
    </row>
    <row r="5" spans="1:18" ht="108" customHeight="1">
      <c r="A5" s="168"/>
      <c r="B5" s="339"/>
      <c r="C5" s="339"/>
      <c r="D5" s="339"/>
      <c r="E5" s="339"/>
      <c r="F5" s="256"/>
      <c r="G5" s="256"/>
      <c r="H5" s="254" t="s">
        <v>262</v>
      </c>
      <c r="I5" s="254" t="s">
        <v>263</v>
      </c>
      <c r="J5" s="254"/>
      <c r="K5" s="254"/>
      <c r="L5" s="254"/>
      <c r="M5" s="254"/>
      <c r="N5" s="254"/>
      <c r="O5" s="254"/>
      <c r="P5" s="254"/>
      <c r="Q5" s="256" t="s">
        <v>264</v>
      </c>
      <c r="R5" s="254"/>
    </row>
    <row r="6" spans="1:18" s="342" customFormat="1" ht="12" customHeight="1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1">
        <v>9</v>
      </c>
      <c r="J6" s="341">
        <v>10</v>
      </c>
      <c r="K6" s="341">
        <v>11</v>
      </c>
      <c r="L6" s="341">
        <v>12</v>
      </c>
      <c r="M6" s="341">
        <v>13</v>
      </c>
      <c r="N6" s="341">
        <v>14</v>
      </c>
      <c r="O6" s="341">
        <v>15</v>
      </c>
      <c r="P6" s="341">
        <v>16</v>
      </c>
      <c r="Q6" s="341">
        <v>17</v>
      </c>
      <c r="R6" s="341">
        <v>18</v>
      </c>
    </row>
    <row r="7" spans="1:18" ht="16.5" customHeight="1">
      <c r="A7" s="343">
        <v>801</v>
      </c>
      <c r="B7" s="343"/>
      <c r="C7" s="343"/>
      <c r="D7" s="343" t="s">
        <v>180</v>
      </c>
      <c r="E7" s="344">
        <f>E30+E40+E46+E60+E8</f>
        <v>4399452</v>
      </c>
      <c r="F7" s="344">
        <f>F30+F40+F46+F60+F8</f>
        <v>3599452</v>
      </c>
      <c r="G7" s="344">
        <f>G30+G40+G46+G60+G8</f>
        <v>3588310</v>
      </c>
      <c r="H7" s="344">
        <f>H30+H40+H46+H60+H8</f>
        <v>2930534</v>
      </c>
      <c r="I7" s="344">
        <f>I30+I40+I46+I60+I8</f>
        <v>657776</v>
      </c>
      <c r="J7" s="344">
        <f>J30+J40+J46+J60+J8</f>
        <v>0</v>
      </c>
      <c r="K7" s="344">
        <f>K30+K40+K46+K60+K8</f>
        <v>11142</v>
      </c>
      <c r="L7" s="344">
        <f>L30+L40+L46+L60+L8</f>
        <v>0</v>
      </c>
      <c r="M7" s="344">
        <f>M30+M40+M46+M60+M8</f>
        <v>0</v>
      </c>
      <c r="N7" s="344">
        <f>N30+N40+N46+N60+N8</f>
        <v>0</v>
      </c>
      <c r="O7" s="344">
        <f>O30+O40+O46+O60+O8</f>
        <v>800000</v>
      </c>
      <c r="P7" s="344">
        <f>P30+P40+P46+P60+P8</f>
        <v>800000</v>
      </c>
      <c r="Q7" s="344">
        <f>Q30+Q40+Q46+Q60+Q8</f>
        <v>800000</v>
      </c>
      <c r="R7" s="344">
        <f>R30+R40+R46+R60+R8</f>
        <v>0</v>
      </c>
    </row>
    <row r="8" spans="1:18" ht="16.5" customHeight="1">
      <c r="A8" s="345"/>
      <c r="B8" s="345">
        <v>80101</v>
      </c>
      <c r="C8" s="345"/>
      <c r="D8" s="346" t="s">
        <v>181</v>
      </c>
      <c r="E8" s="347">
        <f>SUM(E9:E29)</f>
        <v>3936983</v>
      </c>
      <c r="F8" s="347">
        <f>SUM(F9:F29)</f>
        <v>3136983</v>
      </c>
      <c r="G8" s="347">
        <f>SUM(G9:G29)</f>
        <v>3127775</v>
      </c>
      <c r="H8" s="347">
        <f>SUM(H9:H29)</f>
        <v>2674190</v>
      </c>
      <c r="I8" s="347">
        <f>SUM(I9:I29)</f>
        <v>453585</v>
      </c>
      <c r="J8" s="347">
        <f>SUM(J9:J29)</f>
        <v>0</v>
      </c>
      <c r="K8" s="347">
        <f>SUM(K9:K29)</f>
        <v>9208</v>
      </c>
      <c r="L8" s="347">
        <f>SUM(L9:L29)</f>
        <v>0</v>
      </c>
      <c r="M8" s="347">
        <f>SUM(M9:M29)</f>
        <v>0</v>
      </c>
      <c r="N8" s="347">
        <f>SUM(N9:N29)</f>
        <v>0</v>
      </c>
      <c r="O8" s="347">
        <f>SUM(O9:O29)</f>
        <v>800000</v>
      </c>
      <c r="P8" s="347">
        <f>SUM(P9:P29)</f>
        <v>800000</v>
      </c>
      <c r="Q8" s="347">
        <f>SUM(Q9:Q29)</f>
        <v>800000</v>
      </c>
      <c r="R8" s="347">
        <f>SUM(R9:R29)</f>
        <v>0</v>
      </c>
    </row>
    <row r="9" spans="1:18" ht="17.25" customHeight="1">
      <c r="A9" s="348"/>
      <c r="B9" s="348"/>
      <c r="C9" s="349">
        <v>3020</v>
      </c>
      <c r="D9" s="350" t="s">
        <v>465</v>
      </c>
      <c r="E9" s="351">
        <f>F9+P9</f>
        <v>8572</v>
      </c>
      <c r="F9" s="351">
        <f>G9+J9+K9+L9+M9+N9</f>
        <v>8572</v>
      </c>
      <c r="G9" s="351"/>
      <c r="H9" s="351"/>
      <c r="I9" s="351"/>
      <c r="J9" s="351"/>
      <c r="K9" s="351">
        <v>8572</v>
      </c>
      <c r="L9" s="351"/>
      <c r="M9" s="351"/>
      <c r="N9" s="351"/>
      <c r="O9" s="351"/>
      <c r="P9" s="351"/>
      <c r="Q9" s="351"/>
      <c r="R9" s="351"/>
    </row>
    <row r="10" spans="1:18" ht="17.25" customHeight="1">
      <c r="A10" s="348"/>
      <c r="B10" s="348"/>
      <c r="C10" s="349">
        <v>3050</v>
      </c>
      <c r="D10" s="350" t="s">
        <v>466</v>
      </c>
      <c r="E10" s="351">
        <f>F10+P10</f>
        <v>636</v>
      </c>
      <c r="F10" s="351">
        <f>G10+J10+K10+L10+M10+N10</f>
        <v>636</v>
      </c>
      <c r="G10" s="351"/>
      <c r="H10" s="351"/>
      <c r="I10" s="351"/>
      <c r="J10" s="351"/>
      <c r="K10" s="351">
        <v>636</v>
      </c>
      <c r="L10" s="351"/>
      <c r="M10" s="351"/>
      <c r="N10" s="351"/>
      <c r="O10" s="351"/>
      <c r="P10" s="351"/>
      <c r="Q10" s="351"/>
      <c r="R10" s="351"/>
    </row>
    <row r="11" spans="1:18" ht="17.25" customHeight="1">
      <c r="A11" s="348"/>
      <c r="B11" s="348"/>
      <c r="C11" s="349">
        <v>4010</v>
      </c>
      <c r="D11" s="350" t="s">
        <v>328</v>
      </c>
      <c r="E11" s="351">
        <f>F11+P11</f>
        <v>2083128</v>
      </c>
      <c r="F11" s="351">
        <f>G11+J11+K11+L11+M11+N11</f>
        <v>2083128</v>
      </c>
      <c r="G11" s="351">
        <f>H11+I11</f>
        <v>2083128</v>
      </c>
      <c r="H11" s="351">
        <f>(248737+15000+41880+4437)+(1182623+290093+200217+21600+100+28800+3600+3358+32252+10431)</f>
        <v>2083128</v>
      </c>
      <c r="I11" s="351"/>
      <c r="J11" s="351"/>
      <c r="K11" s="351"/>
      <c r="L11" s="351"/>
      <c r="M11" s="351"/>
      <c r="N11" s="351"/>
      <c r="O11" s="351"/>
      <c r="P11" s="351"/>
      <c r="Q11" s="351"/>
      <c r="R11" s="351"/>
    </row>
    <row r="12" spans="1:18" ht="17.25" customHeight="1">
      <c r="A12" s="348"/>
      <c r="B12" s="348"/>
      <c r="C12" s="349">
        <v>4040</v>
      </c>
      <c r="D12" s="350" t="s">
        <v>346</v>
      </c>
      <c r="E12" s="351">
        <f>F12+P12</f>
        <v>176433</v>
      </c>
      <c r="F12" s="351">
        <f>G12+J12+K12+L12+M12+N12</f>
        <v>176433</v>
      </c>
      <c r="G12" s="351">
        <f>H12+I12</f>
        <v>176433</v>
      </c>
      <c r="H12" s="351">
        <v>176433</v>
      </c>
      <c r="I12" s="351"/>
      <c r="J12" s="351"/>
      <c r="K12" s="351"/>
      <c r="L12" s="351"/>
      <c r="M12" s="351"/>
      <c r="N12" s="351"/>
      <c r="O12" s="351"/>
      <c r="P12" s="351"/>
      <c r="Q12" s="351"/>
      <c r="R12" s="351"/>
    </row>
    <row r="13" spans="1:18" ht="17.25" customHeight="1">
      <c r="A13" s="348"/>
      <c r="B13" s="348"/>
      <c r="C13" s="349">
        <v>4110</v>
      </c>
      <c r="D13" s="350" t="s">
        <v>347</v>
      </c>
      <c r="E13" s="351">
        <f>F13+P13</f>
        <v>359270</v>
      </c>
      <c r="F13" s="351">
        <f>G13+J13+K13+L13+M13+N13</f>
        <v>359270</v>
      </c>
      <c r="G13" s="351">
        <f>H13+I13</f>
        <v>359270</v>
      </c>
      <c r="H13" s="351">
        <v>359270</v>
      </c>
      <c r="I13" s="351"/>
      <c r="J13" s="351"/>
      <c r="K13" s="351"/>
      <c r="L13" s="351"/>
      <c r="M13" s="351"/>
      <c r="N13" s="351"/>
      <c r="O13" s="351"/>
      <c r="P13" s="351"/>
      <c r="Q13" s="351"/>
      <c r="R13" s="351"/>
    </row>
    <row r="14" spans="1:18" ht="17.25" customHeight="1">
      <c r="A14" s="348"/>
      <c r="B14" s="348"/>
      <c r="C14" s="349">
        <v>4120</v>
      </c>
      <c r="D14" s="350" t="s">
        <v>348</v>
      </c>
      <c r="E14" s="351">
        <f>F14+P14</f>
        <v>55359</v>
      </c>
      <c r="F14" s="351">
        <f>G14+J14+K14+L14+M14+N14</f>
        <v>55359</v>
      </c>
      <c r="G14" s="351">
        <f>H14+I14</f>
        <v>55359</v>
      </c>
      <c r="H14" s="351">
        <v>55359</v>
      </c>
      <c r="I14" s="351"/>
      <c r="J14" s="351"/>
      <c r="K14" s="351"/>
      <c r="L14" s="351"/>
      <c r="M14" s="351"/>
      <c r="N14" s="351"/>
      <c r="O14" s="351"/>
      <c r="P14" s="351"/>
      <c r="Q14" s="351"/>
      <c r="R14" s="351"/>
    </row>
    <row r="15" spans="1:18" ht="17.25" customHeight="1">
      <c r="A15" s="348"/>
      <c r="B15" s="348"/>
      <c r="C15" s="349">
        <v>4170</v>
      </c>
      <c r="D15" s="350" t="s">
        <v>388</v>
      </c>
      <c r="E15" s="351">
        <f>F15+P15</f>
        <v>0</v>
      </c>
      <c r="F15" s="351">
        <f>G15+J15+K15+L15+M15+N15</f>
        <v>0</v>
      </c>
      <c r="G15" s="351">
        <f>H15+I15</f>
        <v>0</v>
      </c>
      <c r="H15" s="351">
        <v>0</v>
      </c>
      <c r="I15" s="351"/>
      <c r="J15" s="351"/>
      <c r="K15" s="351"/>
      <c r="L15" s="351"/>
      <c r="M15" s="351"/>
      <c r="N15" s="351"/>
      <c r="O15" s="351"/>
      <c r="P15" s="351"/>
      <c r="Q15" s="351"/>
      <c r="R15" s="351"/>
    </row>
    <row r="16" spans="1:18" ht="17.25" customHeight="1">
      <c r="A16" s="348"/>
      <c r="B16" s="348"/>
      <c r="C16" s="349">
        <v>4210</v>
      </c>
      <c r="D16" s="350" t="s">
        <v>339</v>
      </c>
      <c r="E16" s="351">
        <f>F16+P16</f>
        <v>24750</v>
      </c>
      <c r="F16" s="351">
        <f>G16+J16+K16+L16+M16+N16</f>
        <v>24750</v>
      </c>
      <c r="G16" s="351">
        <f>H16+I16</f>
        <v>24750</v>
      </c>
      <c r="H16" s="351"/>
      <c r="I16" s="351">
        <f>20000+4750</f>
        <v>24750</v>
      </c>
      <c r="J16" s="351"/>
      <c r="K16" s="351"/>
      <c r="L16" s="351"/>
      <c r="M16" s="351"/>
      <c r="N16" s="351"/>
      <c r="O16" s="351"/>
      <c r="P16" s="351"/>
      <c r="Q16" s="351"/>
      <c r="R16" s="351"/>
    </row>
    <row r="17" spans="1:18" ht="15.75" customHeight="1">
      <c r="A17" s="348"/>
      <c r="B17" s="348"/>
      <c r="C17" s="349">
        <v>4240</v>
      </c>
      <c r="D17" s="350" t="s">
        <v>340</v>
      </c>
      <c r="E17" s="351">
        <f>F17+P17</f>
        <v>10000</v>
      </c>
      <c r="F17" s="351">
        <f>G17+J17+K17+L17+M17+N17</f>
        <v>10000</v>
      </c>
      <c r="G17" s="351">
        <f>H17+I17</f>
        <v>10000</v>
      </c>
      <c r="H17" s="351"/>
      <c r="I17" s="351">
        <v>10000</v>
      </c>
      <c r="J17" s="351"/>
      <c r="K17" s="351"/>
      <c r="L17" s="351"/>
      <c r="M17" s="351"/>
      <c r="N17" s="351"/>
      <c r="O17" s="351"/>
      <c r="P17" s="351"/>
      <c r="Q17" s="351"/>
      <c r="R17" s="351"/>
    </row>
    <row r="18" spans="1:18" ht="17.25" customHeight="1">
      <c r="A18" s="348"/>
      <c r="B18" s="348"/>
      <c r="C18" s="349">
        <v>4260</v>
      </c>
      <c r="D18" s="350" t="s">
        <v>349</v>
      </c>
      <c r="E18" s="351">
        <f>F18+P18</f>
        <v>258000</v>
      </c>
      <c r="F18" s="351">
        <f>G18+J18+K18+L18+M18+N18</f>
        <v>258000</v>
      </c>
      <c r="G18" s="351">
        <f>H18+I18</f>
        <v>258000</v>
      </c>
      <c r="H18" s="351"/>
      <c r="I18" s="351">
        <v>258000</v>
      </c>
      <c r="J18" s="351"/>
      <c r="K18" s="351"/>
      <c r="L18" s="351"/>
      <c r="M18" s="351"/>
      <c r="N18" s="351"/>
      <c r="O18" s="351"/>
      <c r="P18" s="351"/>
      <c r="Q18" s="351"/>
      <c r="R18" s="351"/>
    </row>
    <row r="19" spans="1:18" ht="17.25" customHeight="1">
      <c r="A19" s="348"/>
      <c r="B19" s="348"/>
      <c r="C19" s="349">
        <v>4270</v>
      </c>
      <c r="D19" s="350" t="s">
        <v>294</v>
      </c>
      <c r="E19" s="351">
        <f>F19+P19</f>
        <v>20000</v>
      </c>
      <c r="F19" s="351">
        <f>G19+J19+K19+L19+M19+N19</f>
        <v>20000</v>
      </c>
      <c r="G19" s="351">
        <f>H19+I19</f>
        <v>20000</v>
      </c>
      <c r="H19" s="351"/>
      <c r="I19" s="351">
        <v>20000</v>
      </c>
      <c r="J19" s="351"/>
      <c r="K19" s="351"/>
      <c r="L19" s="351"/>
      <c r="M19" s="351"/>
      <c r="N19" s="351"/>
      <c r="O19" s="351"/>
      <c r="P19" s="351"/>
      <c r="Q19" s="351"/>
      <c r="R19" s="351"/>
    </row>
    <row r="20" spans="1:18" ht="17.25" customHeight="1">
      <c r="A20" s="348"/>
      <c r="B20" s="348"/>
      <c r="C20" s="349">
        <v>4280</v>
      </c>
      <c r="D20" s="350" t="s">
        <v>341</v>
      </c>
      <c r="E20" s="351">
        <f>F20+P20</f>
        <v>2000</v>
      </c>
      <c r="F20" s="351">
        <f>G20+J20+K20+L20+M20+N20</f>
        <v>2000</v>
      </c>
      <c r="G20" s="351">
        <f>H20+I20</f>
        <v>2000</v>
      </c>
      <c r="H20" s="351"/>
      <c r="I20" s="351">
        <v>2000</v>
      </c>
      <c r="J20" s="351"/>
      <c r="K20" s="351"/>
      <c r="L20" s="351"/>
      <c r="M20" s="351"/>
      <c r="N20" s="351"/>
      <c r="O20" s="351"/>
      <c r="P20" s="351"/>
      <c r="Q20" s="351"/>
      <c r="R20" s="351"/>
    </row>
    <row r="21" spans="1:18" ht="17.25" customHeight="1">
      <c r="A21" s="348"/>
      <c r="B21" s="348"/>
      <c r="C21" s="349">
        <v>4300</v>
      </c>
      <c r="D21" s="350" t="s">
        <v>350</v>
      </c>
      <c r="E21" s="351">
        <f>F21+P21</f>
        <v>19508</v>
      </c>
      <c r="F21" s="351">
        <f>G21+J21+K21+L21+M21+N21</f>
        <v>19508</v>
      </c>
      <c r="G21" s="351">
        <f>H21+I21</f>
        <v>19508</v>
      </c>
      <c r="H21" s="351"/>
      <c r="I21" s="351">
        <f>19000+508</f>
        <v>19508</v>
      </c>
      <c r="J21" s="351"/>
      <c r="K21" s="351"/>
      <c r="L21" s="351"/>
      <c r="M21" s="351"/>
      <c r="N21" s="351"/>
      <c r="O21" s="351"/>
      <c r="P21" s="351"/>
      <c r="Q21" s="351"/>
      <c r="R21" s="351"/>
    </row>
    <row r="22" spans="1:18" ht="17.25" customHeight="1">
      <c r="A22" s="348"/>
      <c r="B22" s="348"/>
      <c r="C22" s="349">
        <v>4350</v>
      </c>
      <c r="D22" s="350" t="s">
        <v>351</v>
      </c>
      <c r="E22" s="351">
        <f>F22+P22</f>
        <v>1400</v>
      </c>
      <c r="F22" s="351">
        <f>G22+J22+K22+L22+M22+N22</f>
        <v>1400</v>
      </c>
      <c r="G22" s="351">
        <f>H22+I22</f>
        <v>1400</v>
      </c>
      <c r="H22" s="351"/>
      <c r="I22" s="351">
        <v>1400</v>
      </c>
      <c r="J22" s="351"/>
      <c r="K22" s="351"/>
      <c r="L22" s="351"/>
      <c r="M22" s="351"/>
      <c r="N22" s="351"/>
      <c r="O22" s="351"/>
      <c r="P22" s="351"/>
      <c r="Q22" s="351"/>
      <c r="R22" s="351"/>
    </row>
    <row r="23" spans="1:18" ht="27" customHeight="1">
      <c r="A23" s="348"/>
      <c r="B23" s="348"/>
      <c r="C23" s="349">
        <v>4370</v>
      </c>
      <c r="D23" s="350" t="s">
        <v>467</v>
      </c>
      <c r="E23" s="351">
        <f>F23+P23</f>
        <v>3000</v>
      </c>
      <c r="F23" s="351">
        <f>G23+J23+K23+L23+M23+N23</f>
        <v>3000</v>
      </c>
      <c r="G23" s="351">
        <f>H23+I23</f>
        <v>3000</v>
      </c>
      <c r="H23" s="351"/>
      <c r="I23" s="351">
        <v>3000</v>
      </c>
      <c r="J23" s="351"/>
      <c r="K23" s="351"/>
      <c r="L23" s="351"/>
      <c r="M23" s="351"/>
      <c r="N23" s="351"/>
      <c r="O23" s="351"/>
      <c r="P23" s="351"/>
      <c r="Q23" s="351"/>
      <c r="R23" s="351"/>
    </row>
    <row r="24" spans="1:18" ht="17.25" customHeight="1">
      <c r="A24" s="348"/>
      <c r="B24" s="348"/>
      <c r="C24" s="349">
        <v>4410</v>
      </c>
      <c r="D24" s="350" t="s">
        <v>353</v>
      </c>
      <c r="E24" s="351">
        <f>F24+P24</f>
        <v>1500</v>
      </c>
      <c r="F24" s="351">
        <f>G24+J24+K24+L24+M24+N24</f>
        <v>1500</v>
      </c>
      <c r="G24" s="351">
        <f>H24+I24</f>
        <v>1500</v>
      </c>
      <c r="H24" s="351"/>
      <c r="I24" s="351">
        <v>1500</v>
      </c>
      <c r="J24" s="351"/>
      <c r="K24" s="351"/>
      <c r="L24" s="351"/>
      <c r="M24" s="351"/>
      <c r="N24" s="351"/>
      <c r="O24" s="351"/>
      <c r="P24" s="351"/>
      <c r="Q24" s="351"/>
      <c r="R24" s="351"/>
    </row>
    <row r="25" spans="1:18" ht="17.25" customHeight="1">
      <c r="A25" s="348"/>
      <c r="B25" s="348"/>
      <c r="C25" s="349">
        <v>4430</v>
      </c>
      <c r="D25" s="350" t="s">
        <v>354</v>
      </c>
      <c r="E25" s="351">
        <f>F25+P25</f>
        <v>2000</v>
      </c>
      <c r="F25" s="351">
        <f>G25+J25+K25+L25+M25+N25</f>
        <v>2000</v>
      </c>
      <c r="G25" s="351">
        <f>H25+I25</f>
        <v>2000</v>
      </c>
      <c r="H25" s="351"/>
      <c r="I25" s="351">
        <v>2000</v>
      </c>
      <c r="J25" s="351"/>
      <c r="K25" s="351"/>
      <c r="L25" s="351"/>
      <c r="M25" s="351"/>
      <c r="N25" s="351"/>
      <c r="O25" s="351"/>
      <c r="P25" s="351"/>
      <c r="Q25" s="351"/>
      <c r="R25" s="351"/>
    </row>
    <row r="26" spans="1:18" ht="17.25" customHeight="1">
      <c r="A26" s="348"/>
      <c r="B26" s="348"/>
      <c r="C26" s="349">
        <v>4440</v>
      </c>
      <c r="D26" s="350" t="s">
        <v>342</v>
      </c>
      <c r="E26" s="351">
        <f>F26+P26</f>
        <v>110177</v>
      </c>
      <c r="F26" s="351">
        <f>G26+J26+K26+L26+M26+N26</f>
        <v>110177</v>
      </c>
      <c r="G26" s="351">
        <f>H26+I26</f>
        <v>110177</v>
      </c>
      <c r="H26" s="351"/>
      <c r="I26" s="351">
        <v>110177</v>
      </c>
      <c r="J26" s="351"/>
      <c r="K26" s="351"/>
      <c r="L26" s="351"/>
      <c r="M26" s="351"/>
      <c r="N26" s="351"/>
      <c r="O26" s="351"/>
      <c r="P26" s="351"/>
      <c r="Q26" s="351"/>
      <c r="R26" s="351"/>
    </row>
    <row r="27" spans="1:18" ht="17.25" customHeight="1">
      <c r="A27" s="348"/>
      <c r="B27" s="348"/>
      <c r="C27" s="349">
        <v>4480</v>
      </c>
      <c r="D27" s="350" t="s">
        <v>335</v>
      </c>
      <c r="E27" s="351">
        <f>F27+P27</f>
        <v>250</v>
      </c>
      <c r="F27" s="351">
        <f>G27+J27+K27+L27+M27+N27</f>
        <v>250</v>
      </c>
      <c r="G27" s="351">
        <f>H27+I27</f>
        <v>250</v>
      </c>
      <c r="H27" s="351"/>
      <c r="I27" s="351">
        <v>250</v>
      </c>
      <c r="J27" s="351"/>
      <c r="K27" s="351"/>
      <c r="L27" s="351"/>
      <c r="M27" s="351"/>
      <c r="N27" s="351"/>
      <c r="O27" s="351"/>
      <c r="P27" s="351"/>
      <c r="Q27" s="351"/>
      <c r="R27" s="351"/>
    </row>
    <row r="28" spans="1:18" ht="27" customHeight="1">
      <c r="A28" s="348"/>
      <c r="B28" s="348"/>
      <c r="C28" s="349">
        <v>4700</v>
      </c>
      <c r="D28" s="350" t="s">
        <v>355</v>
      </c>
      <c r="E28" s="351">
        <f>F28+O28</f>
        <v>1000</v>
      </c>
      <c r="F28" s="351">
        <f>G28+J28+K28+L28+M28+N28</f>
        <v>1000</v>
      </c>
      <c r="G28" s="351">
        <f>H28+I28</f>
        <v>1000</v>
      </c>
      <c r="H28" s="351"/>
      <c r="I28" s="351">
        <v>1000</v>
      </c>
      <c r="J28" s="351"/>
      <c r="K28" s="351"/>
      <c r="L28" s="351"/>
      <c r="M28" s="351"/>
      <c r="N28" s="351"/>
      <c r="O28" s="351"/>
      <c r="P28" s="351"/>
      <c r="Q28" s="351"/>
      <c r="R28" s="351"/>
    </row>
    <row r="29" spans="1:18" ht="17.25" customHeight="1">
      <c r="A29" s="352"/>
      <c r="B29" s="352"/>
      <c r="C29" s="352">
        <v>6057</v>
      </c>
      <c r="D29" s="353" t="s">
        <v>437</v>
      </c>
      <c r="E29" s="351">
        <f>F29+O29</f>
        <v>800000</v>
      </c>
      <c r="F29" s="351">
        <f>G29+J29+K29+L29+M29+N29</f>
        <v>0</v>
      </c>
      <c r="G29" s="351">
        <f>H29+I29</f>
        <v>0</v>
      </c>
      <c r="H29" s="354">
        <v>0</v>
      </c>
      <c r="I29" s="354">
        <v>0</v>
      </c>
      <c r="J29" s="354">
        <v>0</v>
      </c>
      <c r="K29" s="354">
        <v>0</v>
      </c>
      <c r="L29" s="354"/>
      <c r="M29" s="354"/>
      <c r="N29" s="354"/>
      <c r="O29" s="354">
        <f>P29+R29</f>
        <v>800000</v>
      </c>
      <c r="P29" s="354">
        <f>Q29</f>
        <v>800000</v>
      </c>
      <c r="Q29" s="354">
        <f>'zał 11'!E32</f>
        <v>800000</v>
      </c>
      <c r="R29" s="354">
        <v>0</v>
      </c>
    </row>
    <row r="30" spans="1:18" ht="16.5" customHeight="1">
      <c r="A30" s="345"/>
      <c r="B30" s="345">
        <v>80103</v>
      </c>
      <c r="C30" s="352"/>
      <c r="D30" s="346" t="s">
        <v>337</v>
      </c>
      <c r="E30" s="347">
        <f>SUM(E31:E39)</f>
        <v>132735</v>
      </c>
      <c r="F30" s="347">
        <f>SUM(F31:F39)</f>
        <v>132735</v>
      </c>
      <c r="G30" s="347">
        <f>SUM(G31:G39)</f>
        <v>132301</v>
      </c>
      <c r="H30" s="347">
        <f>SUM(H31:H39)</f>
        <v>123175</v>
      </c>
      <c r="I30" s="347">
        <f>SUM(I31:I39)</f>
        <v>9126</v>
      </c>
      <c r="J30" s="347">
        <f>SUM(J31:J39)</f>
        <v>0</v>
      </c>
      <c r="K30" s="347">
        <f>SUM(K31:K39)</f>
        <v>434</v>
      </c>
      <c r="L30" s="347">
        <f>SUM(L31:L39)</f>
        <v>0</v>
      </c>
      <c r="M30" s="347">
        <f>SUM(M31:M39)</f>
        <v>0</v>
      </c>
      <c r="N30" s="347">
        <f>SUM(N31:N39)</f>
        <v>0</v>
      </c>
      <c r="O30" s="347">
        <f>SUM(O31:O39)</f>
        <v>0</v>
      </c>
      <c r="P30" s="347">
        <f>SUM(P31:P39)</f>
        <v>0</v>
      </c>
      <c r="Q30" s="347">
        <f>SUM(Q31:Q39)</f>
        <v>0</v>
      </c>
      <c r="R30" s="347">
        <f>SUM(R31:R39)</f>
        <v>0</v>
      </c>
    </row>
    <row r="31" spans="1:18" ht="17.25" customHeight="1">
      <c r="A31" s="348"/>
      <c r="B31" s="348"/>
      <c r="C31" s="349">
        <v>3020</v>
      </c>
      <c r="D31" s="350" t="s">
        <v>465</v>
      </c>
      <c r="E31" s="351">
        <f>F31+P31</f>
        <v>434</v>
      </c>
      <c r="F31" s="351">
        <f>G31+J31+K31+L31+M31+N31</f>
        <v>434</v>
      </c>
      <c r="G31" s="351">
        <f>H31+I31</f>
        <v>0</v>
      </c>
      <c r="H31" s="351"/>
      <c r="I31" s="351"/>
      <c r="J31" s="351"/>
      <c r="K31" s="351">
        <v>434</v>
      </c>
      <c r="L31" s="351"/>
      <c r="M31" s="351"/>
      <c r="N31" s="351"/>
      <c r="O31" s="351"/>
      <c r="P31" s="351"/>
      <c r="Q31" s="351"/>
      <c r="R31" s="351"/>
    </row>
    <row r="32" spans="1:18" ht="17.25" customHeight="1">
      <c r="A32" s="348"/>
      <c r="B32" s="348"/>
      <c r="C32" s="349">
        <v>4010</v>
      </c>
      <c r="D32" s="350" t="s">
        <v>328</v>
      </c>
      <c r="E32" s="351">
        <f>F32+O32</f>
        <v>92828</v>
      </c>
      <c r="F32" s="351">
        <f>G32+J32+K32+L32+M32+N32</f>
        <v>92828</v>
      </c>
      <c r="G32" s="351">
        <f>H32+I32</f>
        <v>92828</v>
      </c>
      <c r="H32" s="351">
        <f>(50226+3434+170+1440)+(34776+2782)</f>
        <v>92828</v>
      </c>
      <c r="I32" s="351"/>
      <c r="J32" s="351"/>
      <c r="K32" s="351"/>
      <c r="L32" s="351"/>
      <c r="M32" s="351"/>
      <c r="N32" s="351"/>
      <c r="O32" s="351"/>
      <c r="P32" s="351"/>
      <c r="Q32" s="351"/>
      <c r="R32" s="351"/>
    </row>
    <row r="33" spans="1:18" ht="17.25" customHeight="1">
      <c r="A33" s="348"/>
      <c r="B33" s="348"/>
      <c r="C33" s="349">
        <v>4040</v>
      </c>
      <c r="D33" s="350" t="s">
        <v>346</v>
      </c>
      <c r="E33" s="351">
        <f>F33+O33</f>
        <v>9700</v>
      </c>
      <c r="F33" s="351">
        <f>G33+J33+K33+L33+M33+N33</f>
        <v>9700</v>
      </c>
      <c r="G33" s="351">
        <f>H33+I33</f>
        <v>9700</v>
      </c>
      <c r="H33" s="351">
        <v>9700</v>
      </c>
      <c r="I33" s="351"/>
      <c r="J33" s="351"/>
      <c r="K33" s="351"/>
      <c r="L33" s="351"/>
      <c r="M33" s="351"/>
      <c r="N33" s="351"/>
      <c r="O33" s="351"/>
      <c r="P33" s="351"/>
      <c r="Q33" s="351"/>
      <c r="R33" s="351"/>
    </row>
    <row r="34" spans="1:18" ht="17.25" customHeight="1">
      <c r="A34" s="348"/>
      <c r="B34" s="348"/>
      <c r="C34" s="349">
        <v>4110</v>
      </c>
      <c r="D34" s="350" t="s">
        <v>347</v>
      </c>
      <c r="E34" s="351">
        <f>F34+O34</f>
        <v>17779</v>
      </c>
      <c r="F34" s="351">
        <f>G34+J34+K34+L34+M34+N34</f>
        <v>17779</v>
      </c>
      <c r="G34" s="351">
        <f>H34+I34</f>
        <v>17779</v>
      </c>
      <c r="H34" s="351">
        <v>17779</v>
      </c>
      <c r="I34" s="351"/>
      <c r="J34" s="351"/>
      <c r="K34" s="351"/>
      <c r="L34" s="351"/>
      <c r="M34" s="351"/>
      <c r="N34" s="351"/>
      <c r="O34" s="351"/>
      <c r="P34" s="351"/>
      <c r="Q34" s="351"/>
      <c r="R34" s="351"/>
    </row>
    <row r="35" spans="1:18" ht="17.25" customHeight="1">
      <c r="A35" s="348"/>
      <c r="B35" s="348"/>
      <c r="C35" s="349">
        <v>4120</v>
      </c>
      <c r="D35" s="350" t="s">
        <v>348</v>
      </c>
      <c r="E35" s="351">
        <f>F35+O35</f>
        <v>2868</v>
      </c>
      <c r="F35" s="351">
        <f>G35+J35+K35+L35+M35+N35</f>
        <v>2868</v>
      </c>
      <c r="G35" s="351">
        <f>H35+I35</f>
        <v>2868</v>
      </c>
      <c r="H35" s="351">
        <v>2868</v>
      </c>
      <c r="I35" s="351"/>
      <c r="J35" s="351"/>
      <c r="K35" s="351"/>
      <c r="L35" s="351"/>
      <c r="M35" s="351"/>
      <c r="N35" s="351"/>
      <c r="O35" s="351"/>
      <c r="P35" s="351"/>
      <c r="Q35" s="351"/>
      <c r="R35" s="351"/>
    </row>
    <row r="36" spans="1:18" ht="17.25" customHeight="1">
      <c r="A36" s="348"/>
      <c r="B36" s="348"/>
      <c r="C36" s="349">
        <v>4210</v>
      </c>
      <c r="D36" s="350" t="s">
        <v>339</v>
      </c>
      <c r="E36" s="351">
        <f>F36+O36</f>
        <v>500</v>
      </c>
      <c r="F36" s="351">
        <f>G36+J36+K36+L36+M36+N36</f>
        <v>500</v>
      </c>
      <c r="G36" s="351">
        <f>H36+I36</f>
        <v>500</v>
      </c>
      <c r="H36" s="351"/>
      <c r="I36" s="351">
        <v>500</v>
      </c>
      <c r="J36" s="351"/>
      <c r="K36" s="351"/>
      <c r="L36" s="351"/>
      <c r="M36" s="351"/>
      <c r="N36" s="351"/>
      <c r="O36" s="351"/>
      <c r="P36" s="351"/>
      <c r="Q36" s="351"/>
      <c r="R36" s="351"/>
    </row>
    <row r="37" spans="1:18" ht="15.75" customHeight="1">
      <c r="A37" s="348"/>
      <c r="B37" s="348"/>
      <c r="C37" s="349">
        <v>4240</v>
      </c>
      <c r="D37" s="350" t="s">
        <v>340</v>
      </c>
      <c r="E37" s="351">
        <f>F37+O37</f>
        <v>1000</v>
      </c>
      <c r="F37" s="351">
        <f>G37+J37+K37+L37+M37+N37</f>
        <v>1000</v>
      </c>
      <c r="G37" s="351">
        <f>H37+I37</f>
        <v>1000</v>
      </c>
      <c r="H37" s="351"/>
      <c r="I37" s="351">
        <v>1000</v>
      </c>
      <c r="J37" s="351"/>
      <c r="K37" s="351"/>
      <c r="L37" s="351"/>
      <c r="M37" s="351"/>
      <c r="N37" s="351"/>
      <c r="O37" s="351"/>
      <c r="P37" s="351"/>
      <c r="Q37" s="351"/>
      <c r="R37" s="351"/>
    </row>
    <row r="38" spans="1:18" ht="17.25" customHeight="1">
      <c r="A38" s="348"/>
      <c r="B38" s="348"/>
      <c r="C38" s="349">
        <v>4280</v>
      </c>
      <c r="D38" s="350" t="s">
        <v>341</v>
      </c>
      <c r="E38" s="351">
        <f>F38+O38</f>
        <v>200</v>
      </c>
      <c r="F38" s="351">
        <f>G38+J38+K38+L38+M38+N38</f>
        <v>200</v>
      </c>
      <c r="G38" s="351">
        <f>H38+I38</f>
        <v>200</v>
      </c>
      <c r="H38" s="351"/>
      <c r="I38" s="351">
        <v>200</v>
      </c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7.25" customHeight="1">
      <c r="A39" s="348"/>
      <c r="B39" s="348"/>
      <c r="C39" s="349">
        <v>4440</v>
      </c>
      <c r="D39" s="350" t="s">
        <v>342</v>
      </c>
      <c r="E39" s="351">
        <f>F39+O39</f>
        <v>7426</v>
      </c>
      <c r="F39" s="351">
        <f>G39+J39+K39+L39+M39+N39</f>
        <v>7426</v>
      </c>
      <c r="G39" s="351">
        <f>H39+I39</f>
        <v>7426</v>
      </c>
      <c r="H39" s="351"/>
      <c r="I39" s="351">
        <v>7426</v>
      </c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6.5" customHeight="1">
      <c r="A40" s="346"/>
      <c r="B40" s="345">
        <v>80146</v>
      </c>
      <c r="C40" s="352"/>
      <c r="D40" s="346" t="s">
        <v>362</v>
      </c>
      <c r="E40" s="347">
        <f>SUM(E41:E45)</f>
        <v>7200</v>
      </c>
      <c r="F40" s="347">
        <f>SUM(F41:F45)</f>
        <v>7200</v>
      </c>
      <c r="G40" s="347">
        <f>SUM(G41:G45)</f>
        <v>7200</v>
      </c>
      <c r="H40" s="347">
        <f>SUM(H41:H45)</f>
        <v>0</v>
      </c>
      <c r="I40" s="347">
        <f>SUM(I41:I45)</f>
        <v>7200</v>
      </c>
      <c r="J40" s="347">
        <f>SUM(J41:J45)</f>
        <v>0</v>
      </c>
      <c r="K40" s="347">
        <f>SUM(K41:K45)</f>
        <v>0</v>
      </c>
      <c r="L40" s="347">
        <f>SUM(L41:L45)</f>
        <v>0</v>
      </c>
      <c r="M40" s="347">
        <f>SUM(M41:M45)</f>
        <v>0</v>
      </c>
      <c r="N40" s="347">
        <f>SUM(N41:N45)</f>
        <v>0</v>
      </c>
      <c r="O40" s="347">
        <f>SUM(O41:O45)</f>
        <v>0</v>
      </c>
      <c r="P40" s="347">
        <f>SUM(P41:P45)</f>
        <v>0</v>
      </c>
      <c r="Q40" s="347">
        <f>SUM(Q41:Q45)</f>
        <v>0</v>
      </c>
      <c r="R40" s="347">
        <f>SUM(R41:R45)</f>
        <v>0</v>
      </c>
    </row>
    <row r="41" spans="1:18" ht="17.25" customHeight="1">
      <c r="A41" s="346"/>
      <c r="B41" s="345"/>
      <c r="C41" s="349">
        <v>4210</v>
      </c>
      <c r="D41" s="350" t="s">
        <v>339</v>
      </c>
      <c r="E41" s="351">
        <f>F41+O41</f>
        <v>0</v>
      </c>
      <c r="F41" s="351">
        <f>G41+J41+K41+L41+M41+N41</f>
        <v>0</v>
      </c>
      <c r="G41" s="351">
        <f>H41+I41</f>
        <v>0</v>
      </c>
      <c r="H41" s="347"/>
      <c r="I41" s="351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5.75" customHeight="1">
      <c r="A42" s="348"/>
      <c r="B42" s="348"/>
      <c r="C42" s="349">
        <v>4240</v>
      </c>
      <c r="D42" s="350" t="s">
        <v>340</v>
      </c>
      <c r="E42" s="351">
        <f>F42+O42</f>
        <v>200</v>
      </c>
      <c r="F42" s="351">
        <f>G42+J42+K42+L42+M42+N42</f>
        <v>200</v>
      </c>
      <c r="G42" s="351">
        <f>H42+I42</f>
        <v>200</v>
      </c>
      <c r="H42" s="351"/>
      <c r="I42" s="351">
        <v>200</v>
      </c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7.25" customHeight="1">
      <c r="A43" s="348"/>
      <c r="B43" s="348"/>
      <c r="C43" s="349">
        <v>4300</v>
      </c>
      <c r="D43" s="350" t="s">
        <v>350</v>
      </c>
      <c r="E43" s="351">
        <f>F43+O43</f>
        <v>2000</v>
      </c>
      <c r="F43" s="351">
        <f>G43+J43+K43+L43+M43+N43</f>
        <v>2000</v>
      </c>
      <c r="G43" s="351">
        <f>H43+I43</f>
        <v>2000</v>
      </c>
      <c r="H43" s="351"/>
      <c r="I43" s="351">
        <v>2000</v>
      </c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7.25" customHeight="1">
      <c r="A44" s="348"/>
      <c r="B44" s="348"/>
      <c r="C44" s="349">
        <v>4410</v>
      </c>
      <c r="D44" s="350" t="s">
        <v>353</v>
      </c>
      <c r="E44" s="351">
        <f>F44+O44</f>
        <v>3000</v>
      </c>
      <c r="F44" s="351">
        <f>G44+J44+K44+L44+M44+N44</f>
        <v>3000</v>
      </c>
      <c r="G44" s="351">
        <f>H44+I44</f>
        <v>3000</v>
      </c>
      <c r="H44" s="351"/>
      <c r="I44" s="351">
        <v>3000</v>
      </c>
      <c r="J44" s="351"/>
      <c r="K44" s="351"/>
      <c r="L44" s="351"/>
      <c r="M44" s="351"/>
      <c r="N44" s="351"/>
      <c r="O44" s="351"/>
      <c r="P44" s="351"/>
      <c r="Q44" s="351"/>
      <c r="R44" s="351"/>
    </row>
    <row r="45" spans="1:18" ht="27" customHeight="1">
      <c r="A45" s="348"/>
      <c r="B45" s="348"/>
      <c r="C45" s="349">
        <v>4700</v>
      </c>
      <c r="D45" s="350" t="s">
        <v>355</v>
      </c>
      <c r="E45" s="351">
        <f>F45+O45</f>
        <v>2000</v>
      </c>
      <c r="F45" s="351">
        <f>G45+J45+K45+L45+M45+N45</f>
        <v>2000</v>
      </c>
      <c r="G45" s="351">
        <f>H45+I45</f>
        <v>2000</v>
      </c>
      <c r="H45" s="351"/>
      <c r="I45" s="351">
        <v>2000</v>
      </c>
      <c r="J45" s="351"/>
      <c r="K45" s="351"/>
      <c r="L45" s="351"/>
      <c r="M45" s="351"/>
      <c r="N45" s="351"/>
      <c r="O45" s="351"/>
      <c r="P45" s="351"/>
      <c r="Q45" s="351"/>
      <c r="R45" s="351"/>
    </row>
    <row r="46" spans="1:18" ht="16.5" customHeight="1">
      <c r="A46" s="346"/>
      <c r="B46" s="355">
        <v>80148</v>
      </c>
      <c r="C46" s="356"/>
      <c r="D46" s="357" t="s">
        <v>468</v>
      </c>
      <c r="E46" s="358">
        <f>SUM(E47:E59)</f>
        <v>279102</v>
      </c>
      <c r="F46" s="358">
        <f>SUM(F47:F59)</f>
        <v>279102</v>
      </c>
      <c r="G46" s="358">
        <f>SUM(G47:G59)</f>
        <v>277602</v>
      </c>
      <c r="H46" s="358">
        <f>SUM(H47:H59)</f>
        <v>133169</v>
      </c>
      <c r="I46" s="358">
        <f>SUM(I47:I59)</f>
        <v>144433</v>
      </c>
      <c r="J46" s="358">
        <f>SUM(J47:J59)</f>
        <v>0</v>
      </c>
      <c r="K46" s="358">
        <f>SUM(K47:K59)</f>
        <v>1500</v>
      </c>
      <c r="L46" s="358">
        <f>SUM(L47:L59)</f>
        <v>0</v>
      </c>
      <c r="M46" s="358">
        <f>SUM(M47:M59)</f>
        <v>0</v>
      </c>
      <c r="N46" s="358">
        <f>SUM(N47:N59)</f>
        <v>0</v>
      </c>
      <c r="O46" s="358">
        <f>SUM(O47:O59)</f>
        <v>0</v>
      </c>
      <c r="P46" s="358">
        <f>SUM(P47:P59)</f>
        <v>0</v>
      </c>
      <c r="Q46" s="358">
        <f>SUM(Q47:Q59)</f>
        <v>0</v>
      </c>
      <c r="R46" s="358">
        <f>SUM(R47:R59)</f>
        <v>0</v>
      </c>
    </row>
    <row r="47" spans="1:18" ht="17.25" customHeight="1">
      <c r="A47" s="348"/>
      <c r="B47" s="348"/>
      <c r="C47" s="349">
        <v>3020</v>
      </c>
      <c r="D47" s="350" t="s">
        <v>465</v>
      </c>
      <c r="E47" s="351">
        <f>F47+O47</f>
        <v>1500</v>
      </c>
      <c r="F47" s="351">
        <f>G47+J47+K47+L47+M47+N47</f>
        <v>1500</v>
      </c>
      <c r="G47" s="351"/>
      <c r="H47" s="351"/>
      <c r="I47" s="351"/>
      <c r="J47" s="351"/>
      <c r="K47" s="351">
        <v>1500</v>
      </c>
      <c r="L47" s="351"/>
      <c r="M47" s="351"/>
      <c r="N47" s="351"/>
      <c r="O47" s="351"/>
      <c r="P47" s="351"/>
      <c r="Q47" s="351"/>
      <c r="R47" s="351"/>
    </row>
    <row r="48" spans="1:18" ht="17.25" customHeight="1">
      <c r="A48" s="348"/>
      <c r="B48" s="348"/>
      <c r="C48" s="349">
        <v>4010</v>
      </c>
      <c r="D48" s="350" t="s">
        <v>328</v>
      </c>
      <c r="E48" s="351">
        <f>F48+O48</f>
        <v>102293</v>
      </c>
      <c r="F48" s="351">
        <f>G48+J48+K48+L48+M48+N48</f>
        <v>102293</v>
      </c>
      <c r="G48" s="351">
        <f>H48+I48</f>
        <v>102293</v>
      </c>
      <c r="H48" s="351">
        <f>80109+14867+7317</f>
        <v>102293</v>
      </c>
      <c r="I48" s="351"/>
      <c r="J48" s="351"/>
      <c r="K48" s="351"/>
      <c r="L48" s="351"/>
      <c r="M48" s="351"/>
      <c r="N48" s="351"/>
      <c r="O48" s="351"/>
      <c r="P48" s="351"/>
      <c r="Q48" s="351"/>
      <c r="R48" s="351"/>
    </row>
    <row r="49" spans="1:18" ht="17.25" customHeight="1">
      <c r="A49" s="348"/>
      <c r="B49" s="348"/>
      <c r="C49" s="349">
        <v>4040</v>
      </c>
      <c r="D49" s="350" t="s">
        <v>346</v>
      </c>
      <c r="E49" s="351">
        <f>F49+O49</f>
        <v>9435</v>
      </c>
      <c r="F49" s="351">
        <f>G49+J49+K49+L49+M49+N49</f>
        <v>9435</v>
      </c>
      <c r="G49" s="351">
        <f>H49+I49</f>
        <v>9435</v>
      </c>
      <c r="H49" s="351">
        <v>9435</v>
      </c>
      <c r="I49" s="351"/>
      <c r="J49" s="351"/>
      <c r="K49" s="351"/>
      <c r="L49" s="351"/>
      <c r="M49" s="351"/>
      <c r="N49" s="351"/>
      <c r="O49" s="351"/>
      <c r="P49" s="351"/>
      <c r="Q49" s="351"/>
      <c r="R49" s="351"/>
    </row>
    <row r="50" spans="1:18" ht="17.25" customHeight="1">
      <c r="A50" s="348"/>
      <c r="B50" s="348"/>
      <c r="C50" s="349">
        <v>4110</v>
      </c>
      <c r="D50" s="350" t="s">
        <v>347</v>
      </c>
      <c r="E50" s="351">
        <f>F50+O50</f>
        <v>18462</v>
      </c>
      <c r="F50" s="351">
        <f>G50+J50+K50+L50+M50+N50</f>
        <v>18462</v>
      </c>
      <c r="G50" s="351">
        <f>H50+I50</f>
        <v>18462</v>
      </c>
      <c r="H50" s="351">
        <v>18462</v>
      </c>
      <c r="I50" s="351"/>
      <c r="J50" s="351"/>
      <c r="K50" s="351"/>
      <c r="L50" s="351"/>
      <c r="M50" s="351"/>
      <c r="N50" s="351"/>
      <c r="O50" s="351"/>
      <c r="P50" s="351"/>
      <c r="Q50" s="351"/>
      <c r="R50" s="351"/>
    </row>
    <row r="51" spans="1:18" ht="17.25" customHeight="1">
      <c r="A51" s="348"/>
      <c r="B51" s="348"/>
      <c r="C51" s="349">
        <v>4120</v>
      </c>
      <c r="D51" s="350" t="s">
        <v>348</v>
      </c>
      <c r="E51" s="351">
        <f>F51+O51</f>
        <v>2979</v>
      </c>
      <c r="F51" s="351">
        <f>G51+J51+K51+L51+M51+N51</f>
        <v>2979</v>
      </c>
      <c r="G51" s="351">
        <f>H51+I51</f>
        <v>2979</v>
      </c>
      <c r="H51" s="351">
        <v>2979</v>
      </c>
      <c r="I51" s="351"/>
      <c r="J51" s="351"/>
      <c r="K51" s="351"/>
      <c r="L51" s="351"/>
      <c r="M51" s="351"/>
      <c r="N51" s="351"/>
      <c r="O51" s="351"/>
      <c r="P51" s="351"/>
      <c r="Q51" s="351"/>
      <c r="R51" s="351"/>
    </row>
    <row r="52" spans="1:18" ht="17.25" customHeight="1">
      <c r="A52" s="348"/>
      <c r="B52" s="348"/>
      <c r="C52" s="349">
        <v>4210</v>
      </c>
      <c r="D52" s="350" t="s">
        <v>339</v>
      </c>
      <c r="E52" s="351">
        <f>F52+O52</f>
        <v>8500</v>
      </c>
      <c r="F52" s="351">
        <f>G52+J52+K52+L52+M52+N52</f>
        <v>8500</v>
      </c>
      <c r="G52" s="351">
        <f>H52+I52</f>
        <v>8500</v>
      </c>
      <c r="H52" s="351"/>
      <c r="I52" s="351">
        <v>8500</v>
      </c>
      <c r="J52" s="351"/>
      <c r="K52" s="351"/>
      <c r="L52" s="351"/>
      <c r="M52" s="351"/>
      <c r="N52" s="351"/>
      <c r="O52" s="351"/>
      <c r="P52" s="351"/>
      <c r="Q52" s="351"/>
      <c r="R52" s="351"/>
    </row>
    <row r="53" spans="1:18" ht="17.25" customHeight="1">
      <c r="A53" s="348"/>
      <c r="B53" s="348"/>
      <c r="C53" s="349">
        <v>4220</v>
      </c>
      <c r="D53" s="350" t="s">
        <v>469</v>
      </c>
      <c r="E53" s="351">
        <f>F53+O53</f>
        <v>129500</v>
      </c>
      <c r="F53" s="351">
        <f>G53+J53+K53+L53+M53+N53</f>
        <v>129500</v>
      </c>
      <c r="G53" s="351">
        <f>H53+I53</f>
        <v>129500</v>
      </c>
      <c r="H53" s="351"/>
      <c r="I53" s="351">
        <v>129500</v>
      </c>
      <c r="J53" s="351"/>
      <c r="K53" s="351"/>
      <c r="L53" s="351"/>
      <c r="M53" s="351"/>
      <c r="N53" s="351"/>
      <c r="O53" s="351"/>
      <c r="P53" s="351"/>
      <c r="Q53" s="351"/>
      <c r="R53" s="351"/>
    </row>
    <row r="54" spans="1:18" ht="17.25" customHeight="1">
      <c r="A54" s="348"/>
      <c r="B54" s="348"/>
      <c r="C54" s="349">
        <v>4270</v>
      </c>
      <c r="D54" s="350" t="s">
        <v>294</v>
      </c>
      <c r="E54" s="351">
        <f>F54+O54</f>
        <v>1000</v>
      </c>
      <c r="F54" s="351">
        <f>G54+J54+K54+L54+M54+N54</f>
        <v>1000</v>
      </c>
      <c r="G54" s="351">
        <f>H54+I54</f>
        <v>1000</v>
      </c>
      <c r="H54" s="351"/>
      <c r="I54" s="351">
        <v>1000</v>
      </c>
      <c r="J54" s="351"/>
      <c r="K54" s="351"/>
      <c r="L54" s="351"/>
      <c r="M54" s="351"/>
      <c r="N54" s="351"/>
      <c r="O54" s="351"/>
      <c r="P54" s="351"/>
      <c r="Q54" s="351"/>
      <c r="R54" s="351"/>
    </row>
    <row r="55" spans="1:18" ht="17.25" customHeight="1">
      <c r="A55" s="348"/>
      <c r="B55" s="348"/>
      <c r="C55" s="349">
        <v>4280</v>
      </c>
      <c r="D55" s="350" t="s">
        <v>341</v>
      </c>
      <c r="E55" s="351">
        <f>F55+O55</f>
        <v>200</v>
      </c>
      <c r="F55" s="351">
        <f>G55+J55+K55+L55+M55+N55</f>
        <v>200</v>
      </c>
      <c r="G55" s="351">
        <f>H55+I55</f>
        <v>200</v>
      </c>
      <c r="H55" s="351"/>
      <c r="I55" s="351">
        <v>200</v>
      </c>
      <c r="J55" s="351"/>
      <c r="K55" s="351"/>
      <c r="L55" s="351"/>
      <c r="M55" s="351"/>
      <c r="N55" s="351"/>
      <c r="O55" s="351"/>
      <c r="P55" s="351"/>
      <c r="Q55" s="351"/>
      <c r="R55" s="351"/>
    </row>
    <row r="56" spans="1:18" ht="17.25" customHeight="1">
      <c r="A56" s="348"/>
      <c r="B56" s="348"/>
      <c r="C56" s="349">
        <v>4300</v>
      </c>
      <c r="D56" s="350" t="s">
        <v>350</v>
      </c>
      <c r="E56" s="351">
        <f>F56+O56</f>
        <v>300</v>
      </c>
      <c r="F56" s="351">
        <f>G56+J56+K56+L56+M56+N56</f>
        <v>300</v>
      </c>
      <c r="G56" s="351">
        <f>H56+I56</f>
        <v>300</v>
      </c>
      <c r="H56" s="351"/>
      <c r="I56" s="351">
        <v>300</v>
      </c>
      <c r="J56" s="351"/>
      <c r="K56" s="351"/>
      <c r="L56" s="351"/>
      <c r="M56" s="351"/>
      <c r="N56" s="351"/>
      <c r="O56" s="351"/>
      <c r="P56" s="351"/>
      <c r="Q56" s="351"/>
      <c r="R56" s="351"/>
    </row>
    <row r="57" spans="1:18" ht="17.25" customHeight="1">
      <c r="A57" s="348"/>
      <c r="B57" s="348"/>
      <c r="C57" s="349">
        <v>4410</v>
      </c>
      <c r="D57" s="350" t="s">
        <v>353</v>
      </c>
      <c r="E57" s="351">
        <f>F57+O57</f>
        <v>200</v>
      </c>
      <c r="F57" s="351">
        <f>G57+J57+K57+L57+M57+N57</f>
        <v>200</v>
      </c>
      <c r="G57" s="351">
        <f>H57+I57</f>
        <v>200</v>
      </c>
      <c r="H57" s="351"/>
      <c r="I57" s="351">
        <v>200</v>
      </c>
      <c r="J57" s="351"/>
      <c r="K57" s="351"/>
      <c r="L57" s="351"/>
      <c r="M57" s="351"/>
      <c r="N57" s="351"/>
      <c r="O57" s="351"/>
      <c r="P57" s="351"/>
      <c r="Q57" s="351"/>
      <c r="R57" s="351"/>
    </row>
    <row r="58" spans="1:18" ht="17.25" customHeight="1">
      <c r="A58" s="348"/>
      <c r="B58" s="348"/>
      <c r="C58" s="349">
        <v>4440</v>
      </c>
      <c r="D58" s="350" t="s">
        <v>342</v>
      </c>
      <c r="E58" s="351">
        <f>F58+O58</f>
        <v>4233</v>
      </c>
      <c r="F58" s="351">
        <f>G58+J58+K58+L58+M58+N58</f>
        <v>4233</v>
      </c>
      <c r="G58" s="351">
        <f>H58+I58</f>
        <v>4233</v>
      </c>
      <c r="H58" s="351"/>
      <c r="I58" s="351">
        <v>4233</v>
      </c>
      <c r="J58" s="351"/>
      <c r="K58" s="351"/>
      <c r="L58" s="351"/>
      <c r="M58" s="351"/>
      <c r="N58" s="351"/>
      <c r="O58" s="351"/>
      <c r="P58" s="351"/>
      <c r="Q58" s="351"/>
      <c r="R58" s="351"/>
    </row>
    <row r="59" spans="1:18" ht="27" customHeight="1">
      <c r="A59" s="348"/>
      <c r="B59" s="348"/>
      <c r="C59" s="349">
        <v>4700</v>
      </c>
      <c r="D59" s="350" t="s">
        <v>355</v>
      </c>
      <c r="E59" s="351">
        <f>F59+O59</f>
        <v>500</v>
      </c>
      <c r="F59" s="351">
        <f>G59+J59+K59+L59+M59+N59</f>
        <v>500</v>
      </c>
      <c r="G59" s="351">
        <f>H59+I59</f>
        <v>500</v>
      </c>
      <c r="H59" s="351"/>
      <c r="I59" s="351">
        <v>500</v>
      </c>
      <c r="J59" s="351"/>
      <c r="K59" s="351"/>
      <c r="L59" s="351"/>
      <c r="M59" s="351"/>
      <c r="N59" s="351"/>
      <c r="O59" s="351"/>
      <c r="P59" s="351"/>
      <c r="Q59" s="351"/>
      <c r="R59" s="351"/>
    </row>
    <row r="60" spans="1:18" ht="16.5" customHeight="1">
      <c r="A60" s="345"/>
      <c r="B60" s="345">
        <v>80195</v>
      </c>
      <c r="C60" s="352"/>
      <c r="D60" s="346" t="s">
        <v>95</v>
      </c>
      <c r="E60" s="347">
        <f>SUM(E61:E61)</f>
        <v>43432</v>
      </c>
      <c r="F60" s="347">
        <f>SUM(F61:F61)</f>
        <v>43432</v>
      </c>
      <c r="G60" s="347">
        <f>SUM(G61:G61)</f>
        <v>43432</v>
      </c>
      <c r="H60" s="347">
        <f>SUM(H61:H61)</f>
        <v>0</v>
      </c>
      <c r="I60" s="347">
        <f>SUM(I61:I61)</f>
        <v>43432</v>
      </c>
      <c r="J60" s="347">
        <f>SUM(J61:J61)</f>
        <v>0</v>
      </c>
      <c r="K60" s="347">
        <f>SUM(K61:K61)</f>
        <v>0</v>
      </c>
      <c r="L60" s="347">
        <f>SUM(L61:L61)</f>
        <v>0</v>
      </c>
      <c r="M60" s="347">
        <f>SUM(M61:M61)</f>
        <v>0</v>
      </c>
      <c r="N60" s="347">
        <f>SUM(N61:N61)</f>
        <v>0</v>
      </c>
      <c r="O60" s="347">
        <f>SUM(O61:O61)</f>
        <v>0</v>
      </c>
      <c r="P60" s="347">
        <f>SUM(P61:P61)</f>
        <v>0</v>
      </c>
      <c r="Q60" s="347">
        <f>SUM(Q61:Q61)</f>
        <v>0</v>
      </c>
      <c r="R60" s="347">
        <f>SUM(R61:R61)</f>
        <v>0</v>
      </c>
    </row>
    <row r="61" spans="1:18" ht="17.25" customHeight="1">
      <c r="A61" s="348"/>
      <c r="B61" s="348"/>
      <c r="C61" s="349">
        <v>4440</v>
      </c>
      <c r="D61" s="350" t="s">
        <v>342</v>
      </c>
      <c r="E61" s="351">
        <f>F61+O61</f>
        <v>43432</v>
      </c>
      <c r="F61" s="351">
        <f>G61+J61+K61+L61+M61+N61</f>
        <v>43432</v>
      </c>
      <c r="G61" s="351">
        <f>H61+I61</f>
        <v>43432</v>
      </c>
      <c r="H61" s="351"/>
      <c r="I61" s="351">
        <v>43432</v>
      </c>
      <c r="J61" s="351"/>
      <c r="K61" s="351"/>
      <c r="L61" s="351"/>
      <c r="M61" s="351"/>
      <c r="N61" s="351"/>
      <c r="O61" s="351"/>
      <c r="P61" s="351"/>
      <c r="Q61" s="351"/>
      <c r="R61" s="351"/>
    </row>
    <row r="62" spans="5:18" ht="18" customHeight="1">
      <c r="E62" s="359"/>
      <c r="F62" s="359"/>
      <c r="G62" s="360"/>
      <c r="H62" s="361"/>
      <c r="I62" s="361"/>
      <c r="J62" s="362"/>
      <c r="K62" s="362"/>
      <c r="L62" s="362"/>
      <c r="M62" s="362"/>
      <c r="R62" s="361"/>
    </row>
    <row r="63" spans="5:18" ht="18" customHeight="1">
      <c r="E63" s="361"/>
      <c r="F63" s="361"/>
      <c r="G63" s="360"/>
      <c r="H63" s="361"/>
      <c r="I63" s="361"/>
      <c r="J63" s="362"/>
      <c r="K63" s="362"/>
      <c r="L63" s="362"/>
      <c r="M63" s="362"/>
      <c r="R63" s="361"/>
    </row>
    <row r="64" spans="5:18" ht="18" customHeight="1">
      <c r="E64" s="361"/>
      <c r="F64" s="361"/>
      <c r="G64" s="360"/>
      <c r="H64" s="361"/>
      <c r="I64" s="361"/>
      <c r="J64" s="362"/>
      <c r="K64" s="362"/>
      <c r="L64" s="362"/>
      <c r="M64" s="362"/>
      <c r="O64" s="362"/>
      <c r="P64" s="362"/>
      <c r="Q64" s="362"/>
      <c r="R64" s="361"/>
    </row>
    <row r="65" spans="5:18" ht="18" customHeight="1">
      <c r="E65" s="361"/>
      <c r="F65" s="361"/>
      <c r="G65" s="360"/>
      <c r="H65" s="361"/>
      <c r="I65" s="361"/>
      <c r="J65" s="362"/>
      <c r="K65" s="362"/>
      <c r="L65" s="362"/>
      <c r="M65" s="362"/>
      <c r="R65" s="361"/>
    </row>
    <row r="66" spans="5:18" ht="18" customHeight="1">
      <c r="E66" s="361"/>
      <c r="F66" s="361"/>
      <c r="G66" s="360"/>
      <c r="H66" s="361"/>
      <c r="I66" s="361"/>
      <c r="J66" s="362"/>
      <c r="K66" s="362"/>
      <c r="L66" s="362"/>
      <c r="M66" s="362"/>
      <c r="R66" s="361"/>
    </row>
    <row r="67" spans="5:18" ht="18" customHeight="1">
      <c r="E67" s="361"/>
      <c r="F67" s="361"/>
      <c r="G67" s="360"/>
      <c r="H67" s="361"/>
      <c r="I67" s="361"/>
      <c r="J67" s="362"/>
      <c r="K67" s="362"/>
      <c r="L67" s="362"/>
      <c r="M67" s="362"/>
      <c r="R67" s="361"/>
    </row>
    <row r="68" spans="5:18" ht="18" customHeight="1">
      <c r="E68" s="361"/>
      <c r="F68" s="361"/>
      <c r="G68" s="360"/>
      <c r="H68" s="361"/>
      <c r="I68" s="361"/>
      <c r="J68" s="362"/>
      <c r="K68" s="362"/>
      <c r="L68" s="362"/>
      <c r="M68" s="362"/>
      <c r="R68" s="361"/>
    </row>
    <row r="69" spans="5:18" ht="18" customHeight="1">
      <c r="E69" s="361"/>
      <c r="F69" s="361"/>
      <c r="G69" s="360"/>
      <c r="H69" s="361"/>
      <c r="I69" s="361"/>
      <c r="J69" s="362"/>
      <c r="K69" s="362"/>
      <c r="L69" s="362"/>
      <c r="M69" s="362"/>
      <c r="R69" s="361"/>
    </row>
    <row r="70" spans="5:18" ht="18" customHeight="1">
      <c r="E70" s="361"/>
      <c r="F70" s="361"/>
      <c r="G70" s="360"/>
      <c r="H70" s="361"/>
      <c r="I70" s="361"/>
      <c r="J70" s="362"/>
      <c r="K70" s="362"/>
      <c r="L70" s="362"/>
      <c r="M70" s="362"/>
      <c r="R70" s="361"/>
    </row>
    <row r="71" spans="5:18" ht="18" customHeight="1">
      <c r="E71" s="361"/>
      <c r="F71" s="361"/>
      <c r="G71" s="360"/>
      <c r="H71" s="361"/>
      <c r="I71" s="361"/>
      <c r="J71" s="362"/>
      <c r="K71" s="362"/>
      <c r="L71" s="362"/>
      <c r="M71" s="362"/>
      <c r="R71" s="361"/>
    </row>
    <row r="72" spans="5:18" ht="18" customHeight="1">
      <c r="E72" s="361"/>
      <c r="F72" s="361"/>
      <c r="G72" s="360"/>
      <c r="H72" s="361"/>
      <c r="I72" s="361"/>
      <c r="J72" s="362"/>
      <c r="K72" s="362"/>
      <c r="L72" s="362"/>
      <c r="M72" s="362"/>
      <c r="R72" s="361"/>
    </row>
    <row r="73" spans="5:18" ht="18" customHeight="1">
      <c r="E73" s="361"/>
      <c r="F73" s="361"/>
      <c r="G73" s="360"/>
      <c r="H73" s="361"/>
      <c r="I73" s="361"/>
      <c r="J73" s="362"/>
      <c r="K73" s="362"/>
      <c r="L73" s="362"/>
      <c r="M73" s="362"/>
      <c r="R73" s="361"/>
    </row>
    <row r="74" spans="5:18" ht="18" customHeight="1">
      <c r="E74" s="361"/>
      <c r="F74" s="361"/>
      <c r="G74" s="360"/>
      <c r="H74" s="361"/>
      <c r="I74" s="361"/>
      <c r="J74" s="362"/>
      <c r="K74" s="362"/>
      <c r="L74" s="362"/>
      <c r="M74" s="362"/>
      <c r="R74" s="361"/>
    </row>
    <row r="75" spans="5:18" ht="18" customHeight="1">
      <c r="E75" s="361"/>
      <c r="F75" s="361"/>
      <c r="G75" s="360"/>
      <c r="H75" s="361"/>
      <c r="I75" s="361"/>
      <c r="J75" s="362"/>
      <c r="K75" s="362"/>
      <c r="L75" s="362"/>
      <c r="M75" s="362"/>
      <c r="R75" s="361"/>
    </row>
    <row r="76" spans="5:18" ht="18" customHeight="1">
      <c r="E76" s="361"/>
      <c r="F76" s="361"/>
      <c r="G76" s="360"/>
      <c r="H76" s="361"/>
      <c r="I76" s="361"/>
      <c r="J76" s="362"/>
      <c r="K76" s="362"/>
      <c r="L76" s="362"/>
      <c r="M76" s="362"/>
      <c r="R76" s="361"/>
    </row>
    <row r="77" spans="5:18" ht="18" customHeight="1">
      <c r="E77" s="361"/>
      <c r="F77" s="361"/>
      <c r="G77" s="360"/>
      <c r="H77" s="361"/>
      <c r="I77" s="361"/>
      <c r="J77" s="362"/>
      <c r="K77" s="362"/>
      <c r="L77" s="362"/>
      <c r="M77" s="362"/>
      <c r="R77" s="361"/>
    </row>
    <row r="78" spans="5:18" ht="18" customHeight="1">
      <c r="E78" s="361"/>
      <c r="F78" s="361"/>
      <c r="G78" s="360"/>
      <c r="H78" s="361"/>
      <c r="I78" s="361"/>
      <c r="J78" s="362"/>
      <c r="K78" s="362"/>
      <c r="L78" s="362"/>
      <c r="M78" s="362"/>
      <c r="R78" s="361"/>
    </row>
    <row r="79" spans="5:18" ht="18" customHeight="1">
      <c r="E79" s="361"/>
      <c r="F79" s="361"/>
      <c r="G79" s="360"/>
      <c r="H79" s="361"/>
      <c r="I79" s="361"/>
      <c r="J79" s="362"/>
      <c r="K79" s="362"/>
      <c r="L79" s="362"/>
      <c r="M79" s="362"/>
      <c r="R79" s="361"/>
    </row>
    <row r="80" spans="5:18" ht="18" customHeight="1">
      <c r="E80" s="361"/>
      <c r="F80" s="361"/>
      <c r="G80" s="360"/>
      <c r="H80" s="361"/>
      <c r="I80" s="361"/>
      <c r="J80" s="362"/>
      <c r="K80" s="362"/>
      <c r="L80" s="362"/>
      <c r="M80" s="362"/>
      <c r="R80" s="361"/>
    </row>
    <row r="81" spans="5:18" ht="18" customHeight="1">
      <c r="E81" s="361"/>
      <c r="F81" s="361"/>
      <c r="G81" s="360"/>
      <c r="H81" s="361"/>
      <c r="I81" s="361"/>
      <c r="J81" s="362"/>
      <c r="K81" s="362"/>
      <c r="L81" s="362"/>
      <c r="M81" s="362"/>
      <c r="R81" s="361"/>
    </row>
    <row r="82" spans="5:18" ht="18" customHeight="1">
      <c r="E82" s="361"/>
      <c r="F82" s="361"/>
      <c r="G82" s="360"/>
      <c r="H82" s="361"/>
      <c r="I82" s="361"/>
      <c r="J82" s="362"/>
      <c r="K82" s="362"/>
      <c r="L82" s="362"/>
      <c r="M82" s="362"/>
      <c r="R82" s="361"/>
    </row>
    <row r="83" spans="5:18" ht="18" customHeight="1">
      <c r="E83" s="361"/>
      <c r="F83" s="361"/>
      <c r="G83" s="360"/>
      <c r="H83" s="361"/>
      <c r="I83" s="361"/>
      <c r="J83" s="362"/>
      <c r="K83" s="362"/>
      <c r="L83" s="362"/>
      <c r="M83" s="362"/>
      <c r="R83" s="361"/>
    </row>
    <row r="84" spans="5:18" ht="18" customHeight="1">
      <c r="E84" s="361"/>
      <c r="F84" s="361"/>
      <c r="G84" s="360"/>
      <c r="H84" s="361"/>
      <c r="I84" s="361"/>
      <c r="J84" s="362"/>
      <c r="K84" s="362"/>
      <c r="L84" s="362"/>
      <c r="M84" s="362"/>
      <c r="R84" s="361"/>
    </row>
    <row r="85" spans="5:18" ht="18" customHeight="1">
      <c r="E85" s="361"/>
      <c r="F85" s="361"/>
      <c r="G85" s="360"/>
      <c r="H85" s="361"/>
      <c r="I85" s="361"/>
      <c r="J85" s="362"/>
      <c r="K85" s="362"/>
      <c r="L85" s="362"/>
      <c r="M85" s="362"/>
      <c r="R85" s="361"/>
    </row>
    <row r="86" spans="5:18" ht="18" customHeight="1">
      <c r="E86" s="361"/>
      <c r="F86" s="361"/>
      <c r="G86" s="360"/>
      <c r="H86" s="361"/>
      <c r="I86" s="361"/>
      <c r="J86" s="362"/>
      <c r="K86" s="362"/>
      <c r="L86" s="362"/>
      <c r="M86" s="362"/>
      <c r="R86" s="361"/>
    </row>
    <row r="87" spans="5:18" ht="18" customHeight="1">
      <c r="E87" s="361"/>
      <c r="F87" s="361"/>
      <c r="G87" s="360"/>
      <c r="H87" s="361"/>
      <c r="I87" s="361"/>
      <c r="J87" s="362"/>
      <c r="K87" s="362"/>
      <c r="L87" s="362"/>
      <c r="M87" s="362"/>
      <c r="R87" s="361"/>
    </row>
    <row r="88" spans="5:18" ht="18" customHeight="1">
      <c r="E88" s="361"/>
      <c r="F88" s="361"/>
      <c r="G88" s="360"/>
      <c r="H88" s="361"/>
      <c r="I88" s="361"/>
      <c r="J88" s="362"/>
      <c r="K88" s="362"/>
      <c r="L88" s="362"/>
      <c r="M88" s="362"/>
      <c r="R88" s="361"/>
    </row>
    <row r="89" spans="5:18" ht="18" customHeight="1">
      <c r="E89" s="361"/>
      <c r="F89" s="361"/>
      <c r="H89" s="361"/>
      <c r="I89" s="361"/>
      <c r="R89" s="361"/>
    </row>
    <row r="90" spans="5:18" ht="18" customHeight="1">
      <c r="E90" s="361"/>
      <c r="F90" s="361"/>
      <c r="H90" s="361"/>
      <c r="I90" s="361"/>
      <c r="R90" s="361"/>
    </row>
    <row r="91" spans="5:18" ht="18" customHeight="1">
      <c r="E91" s="361"/>
      <c r="F91" s="361"/>
      <c r="H91" s="361"/>
      <c r="I91" s="361"/>
      <c r="R91" s="361"/>
    </row>
    <row r="92" spans="5:18" ht="18" customHeight="1">
      <c r="E92" s="361"/>
      <c r="F92" s="361"/>
      <c r="H92" s="361"/>
      <c r="I92" s="361"/>
      <c r="R92" s="361"/>
    </row>
    <row r="93" spans="5:18" ht="18" customHeight="1">
      <c r="E93" s="361"/>
      <c r="F93" s="361"/>
      <c r="H93" s="361"/>
      <c r="I93" s="361"/>
      <c r="R93" s="361"/>
    </row>
    <row r="94" spans="5:18" ht="18" customHeight="1">
      <c r="E94" s="361"/>
      <c r="F94" s="361"/>
      <c r="H94" s="361"/>
      <c r="I94" s="361"/>
      <c r="R94" s="361"/>
    </row>
    <row r="95" spans="5:18" ht="18" customHeight="1">
      <c r="E95" s="361"/>
      <c r="F95" s="361"/>
      <c r="H95" s="361"/>
      <c r="I95" s="361"/>
      <c r="R95" s="361"/>
    </row>
    <row r="96" spans="5:18" ht="18" customHeight="1">
      <c r="E96" s="361"/>
      <c r="F96" s="361"/>
      <c r="H96" s="361"/>
      <c r="I96" s="361"/>
      <c r="R96" s="361"/>
    </row>
    <row r="97" spans="5:18" ht="18" customHeight="1">
      <c r="E97" s="361"/>
      <c r="F97" s="361"/>
      <c r="I97" s="361"/>
      <c r="R97" s="361"/>
    </row>
    <row r="98" spans="5:18" ht="18" customHeight="1">
      <c r="E98" s="361"/>
      <c r="F98" s="361"/>
      <c r="I98" s="361"/>
      <c r="R98" s="361"/>
    </row>
    <row r="99" spans="5:18" ht="18" customHeight="1">
      <c r="E99" s="361"/>
      <c r="F99" s="361"/>
      <c r="I99" s="361"/>
      <c r="R99" s="361"/>
    </row>
    <row r="100" spans="5:18" ht="18" customHeight="1">
      <c r="E100" s="361"/>
      <c r="F100" s="361"/>
      <c r="I100" s="361"/>
      <c r="R100" s="361"/>
    </row>
    <row r="101" spans="5:18" ht="18" customHeight="1">
      <c r="E101" s="361"/>
      <c r="F101" s="361"/>
      <c r="I101" s="361"/>
      <c r="R101" s="361"/>
    </row>
    <row r="102" spans="5:18" ht="18" customHeight="1">
      <c r="E102" s="361"/>
      <c r="F102" s="361"/>
      <c r="I102" s="361"/>
      <c r="R102" s="361"/>
    </row>
    <row r="103" spans="5:18" ht="18" customHeight="1">
      <c r="E103" s="361"/>
      <c r="F103" s="361"/>
      <c r="I103" s="361"/>
      <c r="R103" s="361"/>
    </row>
    <row r="104" spans="5:18" ht="18" customHeight="1">
      <c r="E104" s="361"/>
      <c r="F104" s="361"/>
      <c r="I104" s="361"/>
      <c r="R104" s="361"/>
    </row>
    <row r="105" spans="5:18" ht="18" customHeight="1">
      <c r="E105" s="361"/>
      <c r="F105" s="361"/>
      <c r="I105" s="361"/>
      <c r="R105" s="361"/>
    </row>
    <row r="106" spans="5:18" ht="18" customHeight="1">
      <c r="E106" s="361"/>
      <c r="F106" s="361"/>
      <c r="I106" s="361"/>
      <c r="R106" s="361"/>
    </row>
    <row r="107" spans="5:18" ht="18" customHeight="1">
      <c r="E107" s="361"/>
      <c r="F107" s="361"/>
      <c r="I107" s="361"/>
      <c r="R107" s="361"/>
    </row>
    <row r="108" spans="5:18" ht="18" customHeight="1">
      <c r="E108" s="361"/>
      <c r="F108" s="361"/>
      <c r="I108" s="361"/>
      <c r="R108" s="361"/>
    </row>
    <row r="109" spans="5:18" ht="18" customHeight="1">
      <c r="E109" s="361"/>
      <c r="F109" s="361"/>
      <c r="I109" s="361"/>
      <c r="R109" s="361"/>
    </row>
    <row r="110" spans="5:18" ht="18" customHeight="1">
      <c r="E110" s="361"/>
      <c r="F110" s="361"/>
      <c r="I110" s="361"/>
      <c r="R110" s="361"/>
    </row>
    <row r="111" spans="5:18" ht="18" customHeight="1">
      <c r="E111" s="361"/>
      <c r="F111" s="361"/>
      <c r="I111" s="361"/>
      <c r="R111" s="361"/>
    </row>
    <row r="112" spans="5:18" ht="18" customHeight="1">
      <c r="E112" s="361"/>
      <c r="F112" s="361"/>
      <c r="I112" s="361"/>
      <c r="R112" s="361"/>
    </row>
    <row r="113" spans="5:18" ht="18" customHeight="1">
      <c r="E113" s="361"/>
      <c r="F113" s="361"/>
      <c r="I113" s="361"/>
      <c r="R113" s="361"/>
    </row>
    <row r="114" spans="5:18" ht="18" customHeight="1">
      <c r="E114" s="361"/>
      <c r="F114" s="361"/>
      <c r="I114" s="361"/>
      <c r="R114" s="361"/>
    </row>
    <row r="115" spans="5:18" ht="18" customHeight="1">
      <c r="E115" s="361"/>
      <c r="F115" s="361"/>
      <c r="I115" s="361"/>
      <c r="R115" s="361"/>
    </row>
    <row r="116" spans="5:18" ht="18" customHeight="1">
      <c r="E116" s="361"/>
      <c r="F116" s="361"/>
      <c r="I116" s="361"/>
      <c r="R116" s="361"/>
    </row>
    <row r="117" spans="5:18" ht="18" customHeight="1">
      <c r="E117" s="361"/>
      <c r="F117" s="361"/>
      <c r="I117" s="361"/>
      <c r="R117" s="361"/>
    </row>
    <row r="118" spans="5:18" ht="18" customHeight="1">
      <c r="E118" s="361"/>
      <c r="F118" s="361"/>
      <c r="I118" s="361"/>
      <c r="R118" s="361"/>
    </row>
    <row r="119" spans="5:18" ht="18" customHeight="1">
      <c r="E119" s="361"/>
      <c r="F119" s="361"/>
      <c r="I119" s="361"/>
      <c r="R119" s="361"/>
    </row>
    <row r="120" spans="5:18" ht="18" customHeight="1">
      <c r="E120" s="361"/>
      <c r="F120" s="361"/>
      <c r="I120" s="361"/>
      <c r="R120" s="361"/>
    </row>
    <row r="121" spans="5:18" ht="18" customHeight="1">
      <c r="E121" s="361"/>
      <c r="F121" s="361"/>
      <c r="I121" s="361"/>
      <c r="R121" s="361"/>
    </row>
    <row r="122" spans="5:18" ht="18" customHeight="1">
      <c r="E122" s="361"/>
      <c r="F122" s="361"/>
      <c r="I122" s="361"/>
      <c r="R122" s="361"/>
    </row>
    <row r="123" spans="5:18" ht="18" customHeight="1">
      <c r="E123" s="361"/>
      <c r="F123" s="361"/>
      <c r="I123" s="361"/>
      <c r="R123" s="361"/>
    </row>
    <row r="124" spans="5:18" ht="18" customHeight="1">
      <c r="E124" s="361"/>
      <c r="F124" s="361"/>
      <c r="I124" s="361"/>
      <c r="R124" s="361"/>
    </row>
    <row r="125" spans="5:18" ht="18" customHeight="1">
      <c r="E125" s="361"/>
      <c r="F125" s="361"/>
      <c r="I125" s="361"/>
      <c r="R125" s="361"/>
    </row>
    <row r="126" spans="5:18" ht="18" customHeight="1">
      <c r="E126" s="361"/>
      <c r="F126" s="361"/>
      <c r="I126" s="361"/>
      <c r="R126" s="361"/>
    </row>
    <row r="127" spans="5:18" ht="18" customHeight="1">
      <c r="E127" s="361"/>
      <c r="F127" s="361"/>
      <c r="I127" s="361"/>
      <c r="R127" s="361"/>
    </row>
    <row r="128" spans="5:18" ht="18" customHeight="1">
      <c r="E128" s="361"/>
      <c r="F128" s="361"/>
      <c r="I128" s="361"/>
      <c r="R128" s="361"/>
    </row>
    <row r="129" spans="5:18" ht="18" customHeight="1">
      <c r="E129" s="361"/>
      <c r="F129" s="361"/>
      <c r="I129" s="361"/>
      <c r="R129" s="361"/>
    </row>
    <row r="130" spans="5:18" ht="18" customHeight="1">
      <c r="E130" s="361"/>
      <c r="F130" s="361"/>
      <c r="I130" s="361"/>
      <c r="R130" s="361"/>
    </row>
    <row r="131" spans="5:18" ht="18" customHeight="1">
      <c r="E131" s="361"/>
      <c r="F131" s="361"/>
      <c r="I131" s="361"/>
      <c r="R131" s="361"/>
    </row>
    <row r="132" spans="5:18" ht="18" customHeight="1">
      <c r="E132" s="361"/>
      <c r="F132" s="361"/>
      <c r="I132" s="361"/>
      <c r="R132" s="361"/>
    </row>
    <row r="133" spans="5:18" ht="18" customHeight="1">
      <c r="E133" s="361"/>
      <c r="F133" s="361"/>
      <c r="I133" s="361"/>
      <c r="R133" s="361"/>
    </row>
    <row r="134" spans="5:18" ht="18" customHeight="1">
      <c r="E134" s="361"/>
      <c r="F134" s="361"/>
      <c r="I134" s="361"/>
      <c r="R134" s="361"/>
    </row>
    <row r="135" spans="5:18" ht="18" customHeight="1">
      <c r="E135" s="361"/>
      <c r="F135" s="361"/>
      <c r="I135" s="361"/>
      <c r="R135" s="361"/>
    </row>
    <row r="136" spans="5:18" ht="18" customHeight="1">
      <c r="E136" s="361"/>
      <c r="F136" s="361"/>
      <c r="I136" s="361"/>
      <c r="R136" s="361"/>
    </row>
    <row r="137" spans="5:18" ht="18" customHeight="1">
      <c r="E137" s="361"/>
      <c r="F137" s="361"/>
      <c r="I137" s="361"/>
      <c r="R137" s="361"/>
    </row>
    <row r="138" spans="5:18" ht="18" customHeight="1">
      <c r="E138" s="361"/>
      <c r="F138" s="361"/>
      <c r="I138" s="361"/>
      <c r="R138" s="361"/>
    </row>
    <row r="139" spans="5:18" ht="18" customHeight="1">
      <c r="E139" s="361"/>
      <c r="F139" s="361"/>
      <c r="I139" s="361"/>
      <c r="R139" s="361"/>
    </row>
    <row r="140" spans="5:18" ht="18" customHeight="1">
      <c r="E140" s="361"/>
      <c r="F140" s="361"/>
      <c r="I140" s="361"/>
      <c r="R140" s="361"/>
    </row>
    <row r="141" spans="5:18" ht="18" customHeight="1">
      <c r="E141" s="361"/>
      <c r="F141" s="361"/>
      <c r="I141" s="361"/>
      <c r="R141" s="361"/>
    </row>
    <row r="142" spans="5:18" ht="18" customHeight="1">
      <c r="E142" s="361"/>
      <c r="F142" s="361"/>
      <c r="I142" s="361"/>
      <c r="R142" s="361"/>
    </row>
    <row r="143" spans="5:18" ht="18" customHeight="1">
      <c r="E143" s="361"/>
      <c r="F143" s="361"/>
      <c r="I143" s="361"/>
      <c r="R143" s="361"/>
    </row>
    <row r="144" spans="5:18" ht="18" customHeight="1">
      <c r="E144" s="361"/>
      <c r="F144" s="361"/>
      <c r="I144" s="361"/>
      <c r="R144" s="361"/>
    </row>
    <row r="145" spans="5:18" ht="18" customHeight="1">
      <c r="E145" s="361"/>
      <c r="F145" s="361"/>
      <c r="I145" s="361"/>
      <c r="R145" s="361"/>
    </row>
    <row r="146" spans="5:18" ht="18" customHeight="1">
      <c r="E146" s="361"/>
      <c r="F146" s="361"/>
      <c r="I146" s="361"/>
      <c r="R146" s="361"/>
    </row>
    <row r="147" spans="5:18" ht="18" customHeight="1">
      <c r="E147" s="361"/>
      <c r="F147" s="361"/>
      <c r="I147" s="361"/>
      <c r="R147" s="361"/>
    </row>
    <row r="148" spans="5:18" ht="18" customHeight="1">
      <c r="E148" s="361"/>
      <c r="F148" s="361"/>
      <c r="I148" s="361"/>
      <c r="R148" s="361"/>
    </row>
    <row r="149" spans="5:18" ht="18" customHeight="1">
      <c r="E149" s="361"/>
      <c r="F149" s="361"/>
      <c r="I149" s="361"/>
      <c r="R149" s="361"/>
    </row>
    <row r="150" spans="5:18" ht="18" customHeight="1">
      <c r="E150" s="361"/>
      <c r="F150" s="361"/>
      <c r="I150" s="361"/>
      <c r="R150" s="361"/>
    </row>
    <row r="151" spans="5:18" ht="18" customHeight="1">
      <c r="E151" s="361"/>
      <c r="F151" s="361"/>
      <c r="I151" s="361"/>
      <c r="R151" s="361"/>
    </row>
    <row r="152" spans="5:18" ht="18" customHeight="1">
      <c r="E152" s="361"/>
      <c r="F152" s="361"/>
      <c r="I152" s="361"/>
      <c r="R152" s="361"/>
    </row>
    <row r="153" spans="5:18" ht="18" customHeight="1">
      <c r="E153" s="361"/>
      <c r="F153" s="361"/>
      <c r="I153" s="361"/>
      <c r="R153" s="361"/>
    </row>
    <row r="154" spans="5:18" ht="18" customHeight="1">
      <c r="E154" s="361"/>
      <c r="F154" s="361"/>
      <c r="I154" s="361"/>
      <c r="R154" s="361"/>
    </row>
    <row r="155" spans="5:18" ht="18" customHeight="1">
      <c r="E155" s="361"/>
      <c r="F155" s="361"/>
      <c r="I155" s="361"/>
      <c r="R155" s="361"/>
    </row>
    <row r="156" spans="5:18" ht="18" customHeight="1">
      <c r="E156" s="361"/>
      <c r="F156" s="361"/>
      <c r="I156" s="361"/>
      <c r="R156" s="361"/>
    </row>
    <row r="157" spans="5:18" ht="18" customHeight="1">
      <c r="E157" s="361"/>
      <c r="F157" s="361"/>
      <c r="I157" s="361"/>
      <c r="R157" s="361"/>
    </row>
    <row r="158" spans="5:18" ht="18" customHeight="1">
      <c r="E158" s="361"/>
      <c r="F158" s="361"/>
      <c r="I158" s="361"/>
      <c r="R158" s="361"/>
    </row>
    <row r="159" spans="5:18" ht="18" customHeight="1">
      <c r="E159" s="361"/>
      <c r="F159" s="361"/>
      <c r="I159" s="361"/>
      <c r="R159" s="361"/>
    </row>
    <row r="160" spans="5:18" ht="18" customHeight="1">
      <c r="E160" s="361"/>
      <c r="F160" s="361"/>
      <c r="I160" s="361"/>
      <c r="R160" s="361"/>
    </row>
    <row r="161" spans="5:18" ht="18" customHeight="1">
      <c r="E161" s="361"/>
      <c r="F161" s="361"/>
      <c r="I161" s="361"/>
      <c r="R161" s="361"/>
    </row>
    <row r="162" spans="5:18" ht="18" customHeight="1">
      <c r="E162" s="361"/>
      <c r="F162" s="361"/>
      <c r="I162" s="361"/>
      <c r="R162" s="361"/>
    </row>
    <row r="163" spans="5:18" ht="18" customHeight="1">
      <c r="E163" s="361"/>
      <c r="F163" s="361"/>
      <c r="I163" s="361"/>
      <c r="R163" s="361"/>
    </row>
    <row r="164" spans="5:18" ht="18" customHeight="1">
      <c r="E164" s="361"/>
      <c r="F164" s="361"/>
      <c r="I164" s="361"/>
      <c r="R164" s="361"/>
    </row>
    <row r="165" spans="5:18" ht="18" customHeight="1">
      <c r="E165" s="361"/>
      <c r="F165" s="361"/>
      <c r="I165" s="361"/>
      <c r="R165" s="361"/>
    </row>
    <row r="166" spans="5:18" ht="18" customHeight="1">
      <c r="E166" s="361"/>
      <c r="F166" s="361"/>
      <c r="I166" s="361"/>
      <c r="R166" s="361"/>
    </row>
    <row r="167" spans="5:18" ht="18" customHeight="1">
      <c r="E167" s="361"/>
      <c r="F167" s="361"/>
      <c r="I167" s="361"/>
      <c r="R167" s="361"/>
    </row>
    <row r="168" spans="5:18" ht="18" customHeight="1">
      <c r="E168" s="361"/>
      <c r="F168" s="361"/>
      <c r="I168" s="361"/>
      <c r="R168" s="361"/>
    </row>
    <row r="169" spans="5:18" ht="18" customHeight="1">
      <c r="E169" s="361"/>
      <c r="F169" s="361"/>
      <c r="I169" s="361"/>
      <c r="R169" s="361"/>
    </row>
    <row r="170" spans="5:18" ht="18" customHeight="1">
      <c r="E170" s="361"/>
      <c r="F170" s="361"/>
      <c r="I170" s="361"/>
      <c r="R170" s="361"/>
    </row>
    <row r="171" spans="5:18" ht="18" customHeight="1">
      <c r="E171" s="361"/>
      <c r="F171" s="361"/>
      <c r="I171" s="361"/>
      <c r="R171" s="361"/>
    </row>
    <row r="172" spans="5:18" ht="18" customHeight="1">
      <c r="E172" s="361"/>
      <c r="F172" s="361"/>
      <c r="I172" s="361"/>
      <c r="R172" s="361"/>
    </row>
    <row r="173" spans="5:18" ht="18" customHeight="1">
      <c r="E173" s="361"/>
      <c r="F173" s="361"/>
      <c r="I173" s="361"/>
      <c r="R173" s="361"/>
    </row>
    <row r="174" spans="5:18" ht="18" customHeight="1">
      <c r="E174" s="361"/>
      <c r="F174" s="361"/>
      <c r="I174" s="361"/>
      <c r="R174" s="361"/>
    </row>
    <row r="175" spans="5:18" ht="18" customHeight="1">
      <c r="E175" s="361"/>
      <c r="F175" s="361"/>
      <c r="I175" s="361"/>
      <c r="R175" s="361"/>
    </row>
    <row r="176" spans="5:18" ht="18" customHeight="1">
      <c r="E176" s="361"/>
      <c r="F176" s="361"/>
      <c r="I176" s="361"/>
      <c r="R176" s="361"/>
    </row>
    <row r="177" spans="5:18" ht="18" customHeight="1">
      <c r="E177" s="361"/>
      <c r="F177" s="361"/>
      <c r="I177" s="361"/>
      <c r="R177" s="361"/>
    </row>
    <row r="178" spans="5:18" ht="18" customHeight="1">
      <c r="E178" s="361"/>
      <c r="F178" s="361"/>
      <c r="I178" s="361"/>
      <c r="R178" s="361"/>
    </row>
    <row r="179" spans="5:18" ht="18" customHeight="1">
      <c r="E179" s="361"/>
      <c r="F179" s="361"/>
      <c r="I179" s="361"/>
      <c r="R179" s="361"/>
    </row>
    <row r="180" spans="5:18" ht="18" customHeight="1">
      <c r="E180" s="361"/>
      <c r="F180" s="361"/>
      <c r="I180" s="361"/>
      <c r="R180" s="361"/>
    </row>
    <row r="181" spans="5:18" ht="18" customHeight="1">
      <c r="E181" s="361"/>
      <c r="F181" s="361"/>
      <c r="I181" s="361"/>
      <c r="R181" s="361"/>
    </row>
    <row r="182" spans="5:18" ht="18" customHeight="1">
      <c r="E182" s="361"/>
      <c r="F182" s="361"/>
      <c r="I182" s="361"/>
      <c r="R182" s="361"/>
    </row>
    <row r="183" spans="5:18" ht="18" customHeight="1">
      <c r="E183" s="361"/>
      <c r="F183" s="361"/>
      <c r="I183" s="361"/>
      <c r="R183" s="361"/>
    </row>
    <row r="184" spans="5:18" ht="18" customHeight="1">
      <c r="E184" s="361"/>
      <c r="F184" s="361"/>
      <c r="I184" s="361"/>
      <c r="R184" s="361"/>
    </row>
    <row r="185" spans="5:18" ht="18" customHeight="1">
      <c r="E185" s="361"/>
      <c r="F185" s="361"/>
      <c r="I185" s="361"/>
      <c r="R185" s="361"/>
    </row>
    <row r="186" spans="5:18" ht="18" customHeight="1">
      <c r="E186" s="361"/>
      <c r="F186" s="361"/>
      <c r="I186" s="361"/>
      <c r="R186" s="361"/>
    </row>
    <row r="187" spans="5:18" ht="18" customHeight="1">
      <c r="E187" s="361"/>
      <c r="F187" s="361"/>
      <c r="I187" s="361"/>
      <c r="R187" s="361"/>
    </row>
    <row r="188" spans="5:18" ht="18" customHeight="1">
      <c r="E188" s="361"/>
      <c r="F188" s="361"/>
      <c r="I188" s="361"/>
      <c r="R188" s="361"/>
    </row>
    <row r="189" spans="5:18" ht="18" customHeight="1">
      <c r="E189" s="361"/>
      <c r="F189" s="361"/>
      <c r="I189" s="361"/>
      <c r="R189" s="361"/>
    </row>
  </sheetData>
  <mergeCells count="20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4"/>
  <headerFooter alignWithMargins="0">
    <oddHeader>&amp;R&amp;"Times New Roman,Normalny"&amp;12Załącznik Nr 15 do projektu uchwały Nr .. Rady Miejskiej w Barlinku z dnia ........grudnia 2010</oddHeader>
    <oddFooter>&amp;C&amp;"Times New Roman,Normalny"&amp;12Strona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48"/>
  <sheetViews>
    <sheetView showGridLines="0" defaultGridColor="0" view="pageBreakPreview" zoomScaleSheetLayoutView="100" colorId="15" workbookViewId="0" topLeftCell="A1">
      <pane ySplit="6" topLeftCell="A28" activePane="bottomLeft" state="frozen"/>
      <selection pane="topLeft" activeCell="A1" sqref="A1"/>
      <selection pane="bottomLeft" activeCell="H53" sqref="H53"/>
    </sheetView>
  </sheetViews>
  <sheetFormatPr defaultColWidth="9.00390625" defaultRowHeight="12.75"/>
  <cols>
    <col min="1" max="1" width="5.125" style="337" customWidth="1"/>
    <col min="2" max="2" width="6.00390625" style="337" customWidth="1"/>
    <col min="3" max="3" width="5.875" style="337" customWidth="1"/>
    <col min="4" max="4" width="28.25390625" style="337" customWidth="1"/>
    <col min="5" max="5" width="12.00390625" style="337" customWidth="1"/>
    <col min="6" max="9" width="11.625" style="337" customWidth="1"/>
    <col min="10" max="10" width="8.125" style="337" customWidth="1"/>
    <col min="11" max="11" width="9.375" style="337" customWidth="1"/>
    <col min="12" max="12" width="8.125" style="337" customWidth="1"/>
    <col min="13" max="15" width="6.375" style="337" customWidth="1"/>
    <col min="16" max="16" width="8.50390625" style="337" customWidth="1"/>
    <col min="17" max="17" width="7.125" style="337" customWidth="1"/>
    <col min="18" max="18" width="7.75390625" style="337" customWidth="1"/>
    <col min="19" max="16384" width="9.125" style="337" customWidth="1"/>
  </cols>
  <sheetData>
    <row r="1" spans="1:18" ht="29.25" customHeight="1">
      <c r="A1" s="338" t="s">
        <v>470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ht="10.5" customHeight="1">
      <c r="A2" s="168" t="s">
        <v>66</v>
      </c>
      <c r="B2" s="339" t="s">
        <v>86</v>
      </c>
      <c r="C2" s="339" t="s">
        <v>87</v>
      </c>
      <c r="D2" s="339" t="s">
        <v>251</v>
      </c>
      <c r="E2" s="339" t="s">
        <v>252</v>
      </c>
      <c r="F2" s="340" t="s">
        <v>253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1:18" ht="11.25" customHeight="1">
      <c r="A3" s="168"/>
      <c r="B3" s="339"/>
      <c r="C3" s="339"/>
      <c r="D3" s="339"/>
      <c r="E3" s="339"/>
      <c r="F3" s="256" t="s">
        <v>242</v>
      </c>
      <c r="G3" s="255" t="s">
        <v>90</v>
      </c>
      <c r="H3" s="255"/>
      <c r="I3" s="255"/>
      <c r="J3" s="255"/>
      <c r="K3" s="255"/>
      <c r="L3" s="255"/>
      <c r="M3" s="255"/>
      <c r="N3" s="255"/>
      <c r="O3" s="254" t="s">
        <v>254</v>
      </c>
      <c r="P3" s="255" t="s">
        <v>90</v>
      </c>
      <c r="Q3" s="255"/>
      <c r="R3" s="255"/>
    </row>
    <row r="4" spans="1:18" ht="11.25" customHeight="1">
      <c r="A4" s="168"/>
      <c r="B4" s="339"/>
      <c r="C4" s="339"/>
      <c r="D4" s="339"/>
      <c r="E4" s="339"/>
      <c r="F4" s="256"/>
      <c r="G4" s="256" t="s">
        <v>255</v>
      </c>
      <c r="H4" s="255" t="s">
        <v>13</v>
      </c>
      <c r="I4" s="255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254"/>
      <c r="P4" s="254" t="s">
        <v>260</v>
      </c>
      <c r="Q4" s="255" t="s">
        <v>90</v>
      </c>
      <c r="R4" s="254" t="s">
        <v>261</v>
      </c>
    </row>
    <row r="5" spans="1:18" ht="147">
      <c r="A5" s="168"/>
      <c r="B5" s="339"/>
      <c r="C5" s="339"/>
      <c r="D5" s="339"/>
      <c r="E5" s="339"/>
      <c r="F5" s="256"/>
      <c r="G5" s="256"/>
      <c r="H5" s="254" t="s">
        <v>262</v>
      </c>
      <c r="I5" s="254" t="s">
        <v>263</v>
      </c>
      <c r="J5" s="254"/>
      <c r="K5" s="254"/>
      <c r="L5" s="254"/>
      <c r="M5" s="254"/>
      <c r="N5" s="254"/>
      <c r="O5" s="254"/>
      <c r="P5" s="254"/>
      <c r="Q5" s="256" t="s">
        <v>264</v>
      </c>
      <c r="R5" s="254"/>
    </row>
    <row r="6" spans="1:18" ht="12.75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1">
        <v>9</v>
      </c>
      <c r="J6" s="341">
        <v>10</v>
      </c>
      <c r="K6" s="341">
        <v>11</v>
      </c>
      <c r="L6" s="341">
        <v>12</v>
      </c>
      <c r="M6" s="341">
        <v>13</v>
      </c>
      <c r="N6" s="341">
        <v>14</v>
      </c>
      <c r="O6" s="341">
        <v>15</v>
      </c>
      <c r="P6" s="341">
        <v>16</v>
      </c>
      <c r="Q6" s="341">
        <v>17</v>
      </c>
      <c r="R6" s="341">
        <v>18</v>
      </c>
    </row>
    <row r="7" spans="1:18" ht="16.5" customHeight="1">
      <c r="A7" s="343">
        <v>801</v>
      </c>
      <c r="B7" s="343"/>
      <c r="C7" s="343"/>
      <c r="D7" s="343" t="s">
        <v>180</v>
      </c>
      <c r="E7" s="344">
        <f>E8+E30+E40+E46</f>
        <v>3247703</v>
      </c>
      <c r="F7" s="344">
        <f>F8+F30+F40+F46</f>
        <v>3247703</v>
      </c>
      <c r="G7" s="344">
        <f>G8+G30+G40+G46</f>
        <v>3237868</v>
      </c>
      <c r="H7" s="344">
        <f>H8+H30+H40+H46</f>
        <v>2842734</v>
      </c>
      <c r="I7" s="344">
        <f>I8+I30+I40+I46</f>
        <v>395134</v>
      </c>
      <c r="J7" s="344">
        <f>J8+J30+J40+J46</f>
        <v>0</v>
      </c>
      <c r="K7" s="344">
        <f>K8+K30+K40+K46</f>
        <v>9835</v>
      </c>
      <c r="L7" s="344">
        <f>L8+L30+L40+L46</f>
        <v>0</v>
      </c>
      <c r="M7" s="344">
        <f>M8+M30+M40+M46</f>
        <v>0</v>
      </c>
      <c r="N7" s="344">
        <f>N8+N30+N40+N46</f>
        <v>0</v>
      </c>
      <c r="O7" s="344">
        <f>O8+O30+O40+O46</f>
        <v>0</v>
      </c>
      <c r="P7" s="344">
        <f>P8+P30+P40+P46</f>
        <v>0</v>
      </c>
      <c r="Q7" s="344">
        <f>Q8+Q30+Q40+Q46</f>
        <v>0</v>
      </c>
      <c r="R7" s="344">
        <f>R8+R30+R40+R46</f>
        <v>0</v>
      </c>
    </row>
    <row r="8" spans="1:18" ht="16.5" customHeight="1">
      <c r="A8" s="345"/>
      <c r="B8" s="345">
        <v>80101</v>
      </c>
      <c r="C8" s="345"/>
      <c r="D8" s="346" t="s">
        <v>181</v>
      </c>
      <c r="E8" s="347">
        <f>SUM(E9:E29)</f>
        <v>3124676</v>
      </c>
      <c r="F8" s="347">
        <f>SUM(F9:F29)</f>
        <v>3124676</v>
      </c>
      <c r="G8" s="347">
        <f>SUM(G9:G29)</f>
        <v>3115092</v>
      </c>
      <c r="H8" s="347">
        <f>SUM(H9:H29)</f>
        <v>2758796</v>
      </c>
      <c r="I8" s="347">
        <f>SUM(I9:I29)</f>
        <v>356296</v>
      </c>
      <c r="J8" s="347">
        <f>SUM(J9:J29)</f>
        <v>0</v>
      </c>
      <c r="K8" s="347">
        <f>SUM(K9:K29)</f>
        <v>9584</v>
      </c>
      <c r="L8" s="347">
        <f>SUM(L9:L29)</f>
        <v>0</v>
      </c>
      <c r="M8" s="347">
        <f>SUM(M9:M29)</f>
        <v>0</v>
      </c>
      <c r="N8" s="347">
        <f>SUM(N9:N29)</f>
        <v>0</v>
      </c>
      <c r="O8" s="347">
        <f>SUM(O9:O29)</f>
        <v>0</v>
      </c>
      <c r="P8" s="347">
        <f>SUM(P9:P29)</f>
        <v>0</v>
      </c>
      <c r="Q8" s="347">
        <f>SUM(Q9:Q29)</f>
        <v>0</v>
      </c>
      <c r="R8" s="347">
        <f>SUM(R9:R29)</f>
        <v>0</v>
      </c>
    </row>
    <row r="9" spans="1:18" ht="27" customHeight="1">
      <c r="A9" s="345"/>
      <c r="B9" s="345"/>
      <c r="C9" s="352">
        <v>3020</v>
      </c>
      <c r="D9" s="353" t="s">
        <v>345</v>
      </c>
      <c r="E9" s="363">
        <f>F9+O9</f>
        <v>9584</v>
      </c>
      <c r="F9" s="363">
        <f>G9+J9+K9+L9+M9+N9</f>
        <v>9584</v>
      </c>
      <c r="G9" s="363">
        <f>H9+I9</f>
        <v>0</v>
      </c>
      <c r="H9" s="354">
        <v>0</v>
      </c>
      <c r="I9" s="354">
        <v>0</v>
      </c>
      <c r="J9" s="354">
        <v>0</v>
      </c>
      <c r="K9" s="354">
        <v>9584</v>
      </c>
      <c r="L9" s="354"/>
      <c r="M9" s="354"/>
      <c r="N9" s="354"/>
      <c r="O9" s="354">
        <v>0</v>
      </c>
      <c r="P9" s="354"/>
      <c r="Q9" s="354"/>
      <c r="R9" s="354">
        <v>0</v>
      </c>
    </row>
    <row r="10" spans="1:18" ht="17.25" customHeight="1">
      <c r="A10" s="352"/>
      <c r="B10" s="352"/>
      <c r="C10" s="352">
        <v>3240</v>
      </c>
      <c r="D10" s="353" t="s">
        <v>357</v>
      </c>
      <c r="E10" s="363">
        <f>F10+O10</f>
        <v>0</v>
      </c>
      <c r="F10" s="363">
        <f>G10+J10+K10+L10+M10+N10</f>
        <v>0</v>
      </c>
      <c r="G10" s="363">
        <f>H10+I10</f>
        <v>0</v>
      </c>
      <c r="H10" s="354">
        <v>0</v>
      </c>
      <c r="I10" s="354">
        <v>0</v>
      </c>
      <c r="J10" s="354">
        <v>0</v>
      </c>
      <c r="K10" s="354">
        <v>0</v>
      </c>
      <c r="L10" s="354"/>
      <c r="M10" s="354"/>
      <c r="N10" s="354"/>
      <c r="O10" s="354">
        <v>0</v>
      </c>
      <c r="P10" s="354"/>
      <c r="Q10" s="354"/>
      <c r="R10" s="354">
        <v>0</v>
      </c>
    </row>
    <row r="11" spans="1:18" ht="27" customHeight="1">
      <c r="A11" s="352"/>
      <c r="B11" s="352"/>
      <c r="C11" s="352">
        <v>4010</v>
      </c>
      <c r="D11" s="353" t="s">
        <v>328</v>
      </c>
      <c r="E11" s="363">
        <f>F11+O11</f>
        <v>2152707</v>
      </c>
      <c r="F11" s="363">
        <f>G11+J11+K11+L11+M11+N11</f>
        <v>2152707</v>
      </c>
      <c r="G11" s="363">
        <f>H11+I11</f>
        <v>2152707</v>
      </c>
      <c r="H11" s="354">
        <f>(1252896+360398+222444+46200+10076+33103+15637)+(173748+8505+29700)</f>
        <v>2152707</v>
      </c>
      <c r="I11" s="354"/>
      <c r="J11" s="354">
        <v>0</v>
      </c>
      <c r="K11" s="354">
        <v>0</v>
      </c>
      <c r="L11" s="354"/>
      <c r="M11" s="354"/>
      <c r="N11" s="354"/>
      <c r="O11" s="354">
        <v>0</v>
      </c>
      <c r="P11" s="354"/>
      <c r="Q11" s="354"/>
      <c r="R11" s="354">
        <v>0</v>
      </c>
    </row>
    <row r="12" spans="1:18" ht="17.25" customHeight="1">
      <c r="A12" s="352"/>
      <c r="B12" s="352"/>
      <c r="C12" s="352">
        <v>4040</v>
      </c>
      <c r="D12" s="353" t="s">
        <v>346</v>
      </c>
      <c r="E12" s="363">
        <f>F12+O12</f>
        <v>177935</v>
      </c>
      <c r="F12" s="363">
        <f>G12+J12+K12+L12+M12+N12</f>
        <v>177935</v>
      </c>
      <c r="G12" s="363">
        <f>H12+I12</f>
        <v>177935</v>
      </c>
      <c r="H12" s="354">
        <v>177935</v>
      </c>
      <c r="I12" s="354"/>
      <c r="J12" s="354">
        <v>0</v>
      </c>
      <c r="K12" s="354">
        <v>0</v>
      </c>
      <c r="L12" s="354"/>
      <c r="M12" s="354"/>
      <c r="N12" s="354"/>
      <c r="O12" s="354">
        <v>0</v>
      </c>
      <c r="P12" s="354"/>
      <c r="Q12" s="354"/>
      <c r="R12" s="354">
        <v>0</v>
      </c>
    </row>
    <row r="13" spans="1:18" ht="17.25" customHeight="1">
      <c r="A13" s="352"/>
      <c r="B13" s="352"/>
      <c r="C13" s="352">
        <v>4110</v>
      </c>
      <c r="D13" s="353" t="s">
        <v>347</v>
      </c>
      <c r="E13" s="363">
        <f>F13+O13</f>
        <v>370572</v>
      </c>
      <c r="F13" s="363">
        <f>G13+J13+K13+L13+M13+N13</f>
        <v>370572</v>
      </c>
      <c r="G13" s="363">
        <f>H13+I13</f>
        <v>370572</v>
      </c>
      <c r="H13" s="363">
        <v>370572</v>
      </c>
      <c r="I13" s="363"/>
      <c r="J13" s="354">
        <v>0</v>
      </c>
      <c r="K13" s="354">
        <v>0</v>
      </c>
      <c r="L13" s="354"/>
      <c r="M13" s="354"/>
      <c r="N13" s="354"/>
      <c r="O13" s="354">
        <v>0</v>
      </c>
      <c r="P13" s="354"/>
      <c r="Q13" s="354"/>
      <c r="R13" s="354">
        <v>0</v>
      </c>
    </row>
    <row r="14" spans="1:18" ht="17.25" customHeight="1">
      <c r="A14" s="364"/>
      <c r="B14" s="364"/>
      <c r="C14" s="352">
        <v>4120</v>
      </c>
      <c r="D14" s="353" t="s">
        <v>348</v>
      </c>
      <c r="E14" s="363">
        <f>F14+O14</f>
        <v>57582</v>
      </c>
      <c r="F14" s="363">
        <f>G14+J14+K14+L14+M14+N14</f>
        <v>57582</v>
      </c>
      <c r="G14" s="363">
        <f>H14+I14</f>
        <v>57582</v>
      </c>
      <c r="H14" s="354">
        <v>57582</v>
      </c>
      <c r="I14" s="354"/>
      <c r="J14" s="365">
        <v>0</v>
      </c>
      <c r="K14" s="365">
        <v>0</v>
      </c>
      <c r="L14" s="354"/>
      <c r="M14" s="354"/>
      <c r="N14" s="354"/>
      <c r="O14" s="354">
        <v>0</v>
      </c>
      <c r="P14" s="354"/>
      <c r="Q14" s="354"/>
      <c r="R14" s="354">
        <v>0</v>
      </c>
    </row>
    <row r="15" spans="1:18" ht="17.25" customHeight="1">
      <c r="A15" s="364"/>
      <c r="B15" s="364"/>
      <c r="C15" s="352">
        <v>4170</v>
      </c>
      <c r="D15" s="353" t="s">
        <v>471</v>
      </c>
      <c r="E15" s="363">
        <f>F15+O15</f>
        <v>0</v>
      </c>
      <c r="F15" s="363">
        <f>G15+J15+K15+L15+M15+N15</f>
        <v>0</v>
      </c>
      <c r="G15" s="363">
        <f>H15+I15</f>
        <v>0</v>
      </c>
      <c r="H15" s="354"/>
      <c r="I15" s="354"/>
      <c r="J15" s="365">
        <v>0</v>
      </c>
      <c r="K15" s="365">
        <v>0</v>
      </c>
      <c r="L15" s="354"/>
      <c r="M15" s="354"/>
      <c r="N15" s="354"/>
      <c r="O15" s="354">
        <v>0</v>
      </c>
      <c r="P15" s="354"/>
      <c r="Q15" s="354"/>
      <c r="R15" s="354">
        <v>0</v>
      </c>
    </row>
    <row r="16" spans="1:18" ht="17.25" customHeight="1">
      <c r="A16" s="364"/>
      <c r="B16" s="364"/>
      <c r="C16" s="352">
        <v>4210</v>
      </c>
      <c r="D16" s="353" t="s">
        <v>339</v>
      </c>
      <c r="E16" s="363">
        <f>F16+O16</f>
        <v>21640</v>
      </c>
      <c r="F16" s="363">
        <f>G16+J16+K16+L16+M16+N16</f>
        <v>21640</v>
      </c>
      <c r="G16" s="363">
        <f>H16+I16</f>
        <v>21640</v>
      </c>
      <c r="H16" s="354">
        <v>0</v>
      </c>
      <c r="I16" s="354">
        <f>18000+3640</f>
        <v>21640</v>
      </c>
      <c r="J16" s="354">
        <v>0</v>
      </c>
      <c r="K16" s="365">
        <v>0</v>
      </c>
      <c r="L16" s="354"/>
      <c r="M16" s="354"/>
      <c r="N16" s="354"/>
      <c r="O16" s="354">
        <v>0</v>
      </c>
      <c r="P16" s="354"/>
      <c r="Q16" s="354"/>
      <c r="R16" s="354">
        <v>0</v>
      </c>
    </row>
    <row r="17" spans="1:18" ht="27" customHeight="1">
      <c r="A17" s="364"/>
      <c r="B17" s="364"/>
      <c r="C17" s="352">
        <v>4240</v>
      </c>
      <c r="D17" s="353" t="s">
        <v>340</v>
      </c>
      <c r="E17" s="363">
        <f>F17+O17</f>
        <v>10000</v>
      </c>
      <c r="F17" s="363">
        <f>G17+J17+K17+L17+M17+N17</f>
        <v>10000</v>
      </c>
      <c r="G17" s="363">
        <f>H17+I17</f>
        <v>10000</v>
      </c>
      <c r="H17" s="354">
        <v>0</v>
      </c>
      <c r="I17" s="354">
        <v>10000</v>
      </c>
      <c r="J17" s="354">
        <v>0</v>
      </c>
      <c r="K17" s="365">
        <v>0</v>
      </c>
      <c r="L17" s="354"/>
      <c r="M17" s="354"/>
      <c r="N17" s="354"/>
      <c r="O17" s="354">
        <v>0</v>
      </c>
      <c r="P17" s="354"/>
      <c r="Q17" s="354"/>
      <c r="R17" s="354">
        <v>0</v>
      </c>
    </row>
    <row r="18" spans="1:18" ht="17.25" customHeight="1">
      <c r="A18" s="364"/>
      <c r="B18" s="364"/>
      <c r="C18" s="352">
        <v>4260</v>
      </c>
      <c r="D18" s="353" t="s">
        <v>349</v>
      </c>
      <c r="E18" s="363">
        <f>F18+O18</f>
        <v>146000</v>
      </c>
      <c r="F18" s="363">
        <f>G18+J18+K18+L18+M18+N18</f>
        <v>146000</v>
      </c>
      <c r="G18" s="363">
        <f>H18+I18</f>
        <v>146000</v>
      </c>
      <c r="H18" s="354">
        <v>0</v>
      </c>
      <c r="I18" s="354">
        <v>146000</v>
      </c>
      <c r="J18" s="354">
        <v>0</v>
      </c>
      <c r="K18" s="365">
        <v>0</v>
      </c>
      <c r="L18" s="354"/>
      <c r="M18" s="354"/>
      <c r="N18" s="354"/>
      <c r="O18" s="354">
        <v>0</v>
      </c>
      <c r="P18" s="354"/>
      <c r="Q18" s="354"/>
      <c r="R18" s="354">
        <v>0</v>
      </c>
    </row>
    <row r="19" spans="1:18" ht="17.25" customHeight="1">
      <c r="A19" s="364"/>
      <c r="B19" s="364"/>
      <c r="C19" s="352">
        <v>4270</v>
      </c>
      <c r="D19" s="353" t="s">
        <v>294</v>
      </c>
      <c r="E19" s="363">
        <f>F19+O19</f>
        <v>10000</v>
      </c>
      <c r="F19" s="363">
        <f>G19+J19+K19+L19+M19+N19</f>
        <v>10000</v>
      </c>
      <c r="G19" s="363">
        <f>H19+I19</f>
        <v>10000</v>
      </c>
      <c r="H19" s="354">
        <v>0</v>
      </c>
      <c r="I19" s="354">
        <v>10000</v>
      </c>
      <c r="J19" s="354">
        <v>0</v>
      </c>
      <c r="K19" s="365">
        <v>0</v>
      </c>
      <c r="L19" s="354"/>
      <c r="M19" s="354"/>
      <c r="N19" s="354"/>
      <c r="O19" s="354">
        <v>0</v>
      </c>
      <c r="P19" s="354"/>
      <c r="Q19" s="354"/>
      <c r="R19" s="354">
        <v>0</v>
      </c>
    </row>
    <row r="20" spans="1:18" ht="17.25" customHeight="1">
      <c r="A20" s="364"/>
      <c r="B20" s="364"/>
      <c r="C20" s="352">
        <v>4280</v>
      </c>
      <c r="D20" s="353" t="s">
        <v>341</v>
      </c>
      <c r="E20" s="363">
        <f>F20+O20</f>
        <v>400</v>
      </c>
      <c r="F20" s="363">
        <f>G20+J20+K20+L20+M20+N20</f>
        <v>400</v>
      </c>
      <c r="G20" s="363">
        <f>H20+I20</f>
        <v>400</v>
      </c>
      <c r="H20" s="354">
        <v>0</v>
      </c>
      <c r="I20" s="354">
        <v>400</v>
      </c>
      <c r="J20" s="354">
        <v>0</v>
      </c>
      <c r="K20" s="365">
        <v>0</v>
      </c>
      <c r="L20" s="354"/>
      <c r="M20" s="354"/>
      <c r="N20" s="354"/>
      <c r="O20" s="354">
        <v>0</v>
      </c>
      <c r="P20" s="354"/>
      <c r="Q20" s="354"/>
      <c r="R20" s="354">
        <v>0</v>
      </c>
    </row>
    <row r="21" spans="1:18" ht="17.25" customHeight="1">
      <c r="A21" s="364"/>
      <c r="B21" s="364"/>
      <c r="C21" s="352">
        <v>4300</v>
      </c>
      <c r="D21" s="353" t="s">
        <v>350</v>
      </c>
      <c r="E21" s="363">
        <f>F21+O21</f>
        <v>41733</v>
      </c>
      <c r="F21" s="363">
        <f>G21+J21+K21+L21+M21+N21</f>
        <v>41733</v>
      </c>
      <c r="G21" s="363">
        <f>H21+I21</f>
        <v>41733</v>
      </c>
      <c r="H21" s="354">
        <v>0</v>
      </c>
      <c r="I21" s="354">
        <f>40900+833</f>
        <v>41733</v>
      </c>
      <c r="J21" s="354">
        <v>0</v>
      </c>
      <c r="K21" s="365">
        <v>0</v>
      </c>
      <c r="L21" s="354"/>
      <c r="M21" s="354"/>
      <c r="N21" s="354"/>
      <c r="O21" s="354">
        <v>0</v>
      </c>
      <c r="P21" s="354"/>
      <c r="Q21" s="354"/>
      <c r="R21" s="354">
        <v>0</v>
      </c>
    </row>
    <row r="22" spans="1:18" ht="27" customHeight="1">
      <c r="A22" s="364"/>
      <c r="B22" s="364"/>
      <c r="C22" s="352">
        <v>4350</v>
      </c>
      <c r="D22" s="353" t="s">
        <v>351</v>
      </c>
      <c r="E22" s="363">
        <f>F22+O22</f>
        <v>392</v>
      </c>
      <c r="F22" s="363">
        <f>G22+J22+K22+L22+M22+N22</f>
        <v>392</v>
      </c>
      <c r="G22" s="363">
        <f>H22+I22</f>
        <v>392</v>
      </c>
      <c r="H22" s="354">
        <v>0</v>
      </c>
      <c r="I22" s="354">
        <v>392</v>
      </c>
      <c r="J22" s="354">
        <v>0</v>
      </c>
      <c r="K22" s="365">
        <v>0</v>
      </c>
      <c r="L22" s="354"/>
      <c r="M22" s="354"/>
      <c r="N22" s="354"/>
      <c r="O22" s="354">
        <v>0</v>
      </c>
      <c r="P22" s="354"/>
      <c r="Q22" s="354"/>
      <c r="R22" s="354">
        <v>0</v>
      </c>
    </row>
    <row r="23" spans="1:18" ht="27" customHeight="1">
      <c r="A23" s="364"/>
      <c r="B23" s="364"/>
      <c r="C23" s="352">
        <v>4370</v>
      </c>
      <c r="D23" s="353" t="s">
        <v>352</v>
      </c>
      <c r="E23" s="363">
        <f>F23+O23</f>
        <v>3000</v>
      </c>
      <c r="F23" s="363">
        <f>G23+J23+K23+L23+M23+N23</f>
        <v>3000</v>
      </c>
      <c r="G23" s="363">
        <f>H23+I23</f>
        <v>3000</v>
      </c>
      <c r="H23" s="354">
        <v>0</v>
      </c>
      <c r="I23" s="354">
        <v>3000</v>
      </c>
      <c r="J23" s="354">
        <v>0</v>
      </c>
      <c r="K23" s="354">
        <v>0</v>
      </c>
      <c r="L23" s="354"/>
      <c r="M23" s="354"/>
      <c r="N23" s="354"/>
      <c r="O23" s="354">
        <v>0</v>
      </c>
      <c r="P23" s="354"/>
      <c r="Q23" s="354"/>
      <c r="R23" s="354">
        <v>0</v>
      </c>
    </row>
    <row r="24" spans="1:18" ht="17.25" customHeight="1">
      <c r="A24" s="364"/>
      <c r="B24" s="364"/>
      <c r="C24" s="352">
        <v>4410</v>
      </c>
      <c r="D24" s="353" t="s">
        <v>353</v>
      </c>
      <c r="E24" s="363">
        <f>F24+O24</f>
        <v>1397</v>
      </c>
      <c r="F24" s="363">
        <f>G24+J24+K24+L24+M24+N24</f>
        <v>1397</v>
      </c>
      <c r="G24" s="363">
        <f>H24+I24</f>
        <v>1397</v>
      </c>
      <c r="H24" s="354">
        <v>0</v>
      </c>
      <c r="I24" s="354">
        <v>1397</v>
      </c>
      <c r="J24" s="354">
        <v>0</v>
      </c>
      <c r="K24" s="354">
        <v>0</v>
      </c>
      <c r="L24" s="354"/>
      <c r="M24" s="354"/>
      <c r="N24" s="354"/>
      <c r="O24" s="354">
        <v>0</v>
      </c>
      <c r="P24" s="354"/>
      <c r="Q24" s="354"/>
      <c r="R24" s="354">
        <v>0</v>
      </c>
    </row>
    <row r="25" spans="1:18" ht="17.25" customHeight="1">
      <c r="A25" s="364"/>
      <c r="B25" s="364"/>
      <c r="C25" s="352">
        <v>4430</v>
      </c>
      <c r="D25" s="353" t="s">
        <v>354</v>
      </c>
      <c r="E25" s="363">
        <f>F25+O25</f>
        <v>1635</v>
      </c>
      <c r="F25" s="363">
        <f>G25+J25+K25+L25+M25+N25</f>
        <v>1635</v>
      </c>
      <c r="G25" s="363">
        <f>H25+I25</f>
        <v>1635</v>
      </c>
      <c r="H25" s="354">
        <v>0</v>
      </c>
      <c r="I25" s="354">
        <v>1635</v>
      </c>
      <c r="J25" s="354">
        <v>0</v>
      </c>
      <c r="K25" s="365">
        <v>0</v>
      </c>
      <c r="L25" s="354"/>
      <c r="M25" s="354"/>
      <c r="N25" s="354"/>
      <c r="O25" s="354">
        <v>0</v>
      </c>
      <c r="P25" s="354"/>
      <c r="Q25" s="354"/>
      <c r="R25" s="354">
        <v>0</v>
      </c>
    </row>
    <row r="26" spans="1:18" ht="27" customHeight="1">
      <c r="A26" s="364"/>
      <c r="B26" s="364"/>
      <c r="C26" s="352">
        <v>4440</v>
      </c>
      <c r="D26" s="353" t="s">
        <v>303</v>
      </c>
      <c r="E26" s="363">
        <f>F26+O26</f>
        <v>117099</v>
      </c>
      <c r="F26" s="363">
        <f>G26+J26+K26+L26+M26+N26</f>
        <v>117099</v>
      </c>
      <c r="G26" s="363">
        <f>H26+I26</f>
        <v>117099</v>
      </c>
      <c r="H26" s="354">
        <v>0</v>
      </c>
      <c r="I26" s="354">
        <v>117099</v>
      </c>
      <c r="J26" s="354">
        <v>0</v>
      </c>
      <c r="K26" s="365">
        <v>0</v>
      </c>
      <c r="L26" s="354"/>
      <c r="M26" s="354"/>
      <c r="N26" s="354"/>
      <c r="O26" s="354">
        <v>0</v>
      </c>
      <c r="P26" s="354"/>
      <c r="Q26" s="354"/>
      <c r="R26" s="354">
        <v>0</v>
      </c>
    </row>
    <row r="27" spans="1:18" ht="17.25" customHeight="1">
      <c r="A27" s="348"/>
      <c r="B27" s="348"/>
      <c r="C27" s="349">
        <v>4480</v>
      </c>
      <c r="D27" s="350" t="s">
        <v>335</v>
      </c>
      <c r="E27" s="363">
        <f>F27+O27</f>
        <v>0</v>
      </c>
      <c r="F27" s="363">
        <f>G27+J27+K27+L27+M27+N27</f>
        <v>0</v>
      </c>
      <c r="G27" s="363">
        <f>H27+I27</f>
        <v>0</v>
      </c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</row>
    <row r="28" spans="1:18" ht="38.25" customHeight="1">
      <c r="A28" s="364"/>
      <c r="B28" s="364"/>
      <c r="C28" s="352">
        <v>4700</v>
      </c>
      <c r="D28" s="366" t="s">
        <v>355</v>
      </c>
      <c r="E28" s="363">
        <f>F28+O28</f>
        <v>3000</v>
      </c>
      <c r="F28" s="363">
        <f>G28+J28+K28+L28+M28+N28</f>
        <v>3000</v>
      </c>
      <c r="G28" s="363">
        <f>H28+I28</f>
        <v>3000</v>
      </c>
      <c r="H28" s="354">
        <v>0</v>
      </c>
      <c r="I28" s="354">
        <v>3000</v>
      </c>
      <c r="J28" s="354">
        <v>0</v>
      </c>
      <c r="K28" s="365">
        <v>0</v>
      </c>
      <c r="L28" s="354"/>
      <c r="M28" s="354"/>
      <c r="N28" s="354"/>
      <c r="O28" s="354">
        <v>0</v>
      </c>
      <c r="P28" s="354"/>
      <c r="Q28" s="354"/>
      <c r="R28" s="354">
        <v>0</v>
      </c>
    </row>
    <row r="29" spans="1:18" ht="27" customHeight="1">
      <c r="A29" s="352"/>
      <c r="B29" s="352"/>
      <c r="C29" s="352">
        <v>6050</v>
      </c>
      <c r="D29" s="353" t="s">
        <v>437</v>
      </c>
      <c r="E29" s="363">
        <f>F29+O29</f>
        <v>0</v>
      </c>
      <c r="F29" s="363">
        <f>G29+J29+K29+L29+M29+N29</f>
        <v>0</v>
      </c>
      <c r="G29" s="363">
        <f>H29+I29</f>
        <v>0</v>
      </c>
      <c r="H29" s="354">
        <v>0</v>
      </c>
      <c r="I29" s="354">
        <v>0</v>
      </c>
      <c r="J29" s="354">
        <v>0</v>
      </c>
      <c r="K29" s="354">
        <v>0</v>
      </c>
      <c r="L29" s="354"/>
      <c r="M29" s="354"/>
      <c r="N29" s="354"/>
      <c r="O29" s="354"/>
      <c r="P29" s="354"/>
      <c r="Q29" s="354"/>
      <c r="R29" s="354">
        <v>0</v>
      </c>
    </row>
    <row r="30" spans="1:18" ht="27" customHeight="1">
      <c r="A30" s="345"/>
      <c r="B30" s="345">
        <v>80103</v>
      </c>
      <c r="C30" s="352"/>
      <c r="D30" s="346" t="s">
        <v>337</v>
      </c>
      <c r="E30" s="347">
        <f>SUM(E31:E39)</f>
        <v>94529</v>
      </c>
      <c r="F30" s="347">
        <f>SUM(F31:F39)</f>
        <v>94529</v>
      </c>
      <c r="G30" s="347">
        <f>SUM(G31:G39)</f>
        <v>94278</v>
      </c>
      <c r="H30" s="347">
        <f>SUM(H31:H39)</f>
        <v>83938</v>
      </c>
      <c r="I30" s="347">
        <f>SUM(I31:I39)</f>
        <v>10340</v>
      </c>
      <c r="J30" s="347">
        <f>SUM(J31:J39)</f>
        <v>0</v>
      </c>
      <c r="K30" s="347">
        <f>SUM(K31:K39)</f>
        <v>251</v>
      </c>
      <c r="L30" s="347">
        <f>SUM(L31:L39)</f>
        <v>0</v>
      </c>
      <c r="M30" s="347">
        <f>SUM(M31:M39)</f>
        <v>0</v>
      </c>
      <c r="N30" s="347">
        <f>SUM(N31:N39)</f>
        <v>0</v>
      </c>
      <c r="O30" s="347">
        <f>SUM(O31:O39)</f>
        <v>0</v>
      </c>
      <c r="P30" s="347">
        <f>SUM(P31:P39)</f>
        <v>0</v>
      </c>
      <c r="Q30" s="347">
        <f>SUM(Q31:Q39)</f>
        <v>0</v>
      </c>
      <c r="R30" s="347">
        <f>SUM(R31:R39)</f>
        <v>0</v>
      </c>
    </row>
    <row r="31" spans="1:18" ht="27" customHeight="1">
      <c r="A31" s="355"/>
      <c r="B31" s="355"/>
      <c r="C31" s="356">
        <v>3020</v>
      </c>
      <c r="D31" s="367" t="s">
        <v>345</v>
      </c>
      <c r="E31" s="363">
        <f>F31+O31</f>
        <v>251</v>
      </c>
      <c r="F31" s="363">
        <f>G31+J31+K31+L31+M31+N31</f>
        <v>251</v>
      </c>
      <c r="G31" s="363">
        <f>H31+I31</f>
        <v>0</v>
      </c>
      <c r="H31" s="368">
        <v>0</v>
      </c>
      <c r="I31" s="368">
        <v>0</v>
      </c>
      <c r="J31" s="368">
        <v>0</v>
      </c>
      <c r="K31" s="369">
        <v>251</v>
      </c>
      <c r="L31" s="368"/>
      <c r="M31" s="368"/>
      <c r="N31" s="368"/>
      <c r="O31" s="368">
        <v>0</v>
      </c>
      <c r="P31" s="368"/>
      <c r="Q31" s="368"/>
      <c r="R31" s="368">
        <v>0</v>
      </c>
    </row>
    <row r="32" spans="1:18" ht="27" customHeight="1">
      <c r="A32" s="356"/>
      <c r="B32" s="356"/>
      <c r="C32" s="356">
        <v>4010</v>
      </c>
      <c r="D32" s="367" t="s">
        <v>328</v>
      </c>
      <c r="E32" s="363">
        <f>F32+O32</f>
        <v>64927</v>
      </c>
      <c r="F32" s="363">
        <f>G32+J32+K32+L32+M32+N32</f>
        <v>64927</v>
      </c>
      <c r="G32" s="363">
        <f>H32+I32</f>
        <v>64927</v>
      </c>
      <c r="H32" s="368">
        <f>20865+33588+3037+6717+720</f>
        <v>64927</v>
      </c>
      <c r="I32" s="368"/>
      <c r="J32" s="368">
        <v>0</v>
      </c>
      <c r="K32" s="369">
        <v>0</v>
      </c>
      <c r="L32" s="368"/>
      <c r="M32" s="368"/>
      <c r="N32" s="368"/>
      <c r="O32" s="368">
        <v>0</v>
      </c>
      <c r="P32" s="368"/>
      <c r="Q32" s="368"/>
      <c r="R32" s="368">
        <v>0</v>
      </c>
    </row>
    <row r="33" spans="1:18" ht="17.25" customHeight="1">
      <c r="A33" s="356"/>
      <c r="B33" s="356"/>
      <c r="C33" s="356">
        <v>4040</v>
      </c>
      <c r="D33" s="367" t="s">
        <v>346</v>
      </c>
      <c r="E33" s="363">
        <f>F33+O33</f>
        <v>5850</v>
      </c>
      <c r="F33" s="363">
        <f>G33+J33+K33+L33+M33+N33</f>
        <v>5850</v>
      </c>
      <c r="G33" s="363">
        <f>H33+I33</f>
        <v>5850</v>
      </c>
      <c r="H33" s="368">
        <v>5850</v>
      </c>
      <c r="I33" s="368"/>
      <c r="J33" s="368">
        <v>0</v>
      </c>
      <c r="K33" s="369">
        <v>0</v>
      </c>
      <c r="L33" s="368"/>
      <c r="M33" s="368"/>
      <c r="N33" s="368"/>
      <c r="O33" s="368">
        <v>0</v>
      </c>
      <c r="P33" s="368"/>
      <c r="Q33" s="368"/>
      <c r="R33" s="368">
        <v>0</v>
      </c>
    </row>
    <row r="34" spans="1:18" ht="17.25" customHeight="1">
      <c r="A34" s="356"/>
      <c r="B34" s="356"/>
      <c r="C34" s="356">
        <v>4110</v>
      </c>
      <c r="D34" s="367" t="s">
        <v>347</v>
      </c>
      <c r="E34" s="363">
        <f>F34+O34</f>
        <v>11254</v>
      </c>
      <c r="F34" s="363">
        <f>G34+J34+K34+L34+M34+N34</f>
        <v>11254</v>
      </c>
      <c r="G34" s="363">
        <f>H34+I34</f>
        <v>11254</v>
      </c>
      <c r="H34" s="363">
        <v>11254</v>
      </c>
      <c r="I34" s="368"/>
      <c r="J34" s="368">
        <v>0</v>
      </c>
      <c r="K34" s="369">
        <v>0</v>
      </c>
      <c r="L34" s="368"/>
      <c r="M34" s="368"/>
      <c r="N34" s="368"/>
      <c r="O34" s="368">
        <v>0</v>
      </c>
      <c r="P34" s="368"/>
      <c r="Q34" s="368"/>
      <c r="R34" s="368">
        <v>0</v>
      </c>
    </row>
    <row r="35" spans="1:18" ht="17.25" customHeight="1">
      <c r="A35" s="356"/>
      <c r="B35" s="356"/>
      <c r="C35" s="356">
        <v>4120</v>
      </c>
      <c r="D35" s="367" t="s">
        <v>348</v>
      </c>
      <c r="E35" s="363">
        <f>F35+O35</f>
        <v>1907</v>
      </c>
      <c r="F35" s="363">
        <f>G35+J35+K35+L35+M35+N35</f>
        <v>1907</v>
      </c>
      <c r="G35" s="363">
        <f>H35+I35</f>
        <v>1907</v>
      </c>
      <c r="H35" s="368">
        <v>1907</v>
      </c>
      <c r="I35" s="368"/>
      <c r="J35" s="368">
        <v>0</v>
      </c>
      <c r="K35" s="369">
        <v>0</v>
      </c>
      <c r="L35" s="368"/>
      <c r="M35" s="368"/>
      <c r="N35" s="368"/>
      <c r="O35" s="368">
        <v>0</v>
      </c>
      <c r="P35" s="368"/>
      <c r="Q35" s="368"/>
      <c r="R35" s="368">
        <v>0</v>
      </c>
    </row>
    <row r="36" spans="1:18" ht="17.25" customHeight="1">
      <c r="A36" s="356"/>
      <c r="B36" s="356"/>
      <c r="C36" s="356">
        <v>4210</v>
      </c>
      <c r="D36" s="367" t="s">
        <v>339</v>
      </c>
      <c r="E36" s="363">
        <f>F36+O36</f>
        <v>3000</v>
      </c>
      <c r="F36" s="363">
        <f>G36+J36+K36+L36+M36+N36</f>
        <v>3000</v>
      </c>
      <c r="G36" s="363">
        <f>H36+I36</f>
        <v>3000</v>
      </c>
      <c r="H36" s="368">
        <v>0</v>
      </c>
      <c r="I36" s="368">
        <v>3000</v>
      </c>
      <c r="J36" s="368">
        <v>0</v>
      </c>
      <c r="K36" s="369">
        <v>0</v>
      </c>
      <c r="L36" s="368"/>
      <c r="M36" s="368"/>
      <c r="N36" s="368"/>
      <c r="O36" s="368">
        <v>0</v>
      </c>
      <c r="P36" s="368"/>
      <c r="Q36" s="368"/>
      <c r="R36" s="368">
        <v>0</v>
      </c>
    </row>
    <row r="37" spans="1:18" ht="27" customHeight="1">
      <c r="A37" s="370"/>
      <c r="B37" s="370"/>
      <c r="C37" s="371">
        <v>4240</v>
      </c>
      <c r="D37" s="372" t="s">
        <v>340</v>
      </c>
      <c r="E37" s="363">
        <f>F37+O37</f>
        <v>3500</v>
      </c>
      <c r="F37" s="363">
        <f>G37+J37+K37+L37+M37+N37</f>
        <v>3500</v>
      </c>
      <c r="G37" s="363">
        <f>H37+I37</f>
        <v>3500</v>
      </c>
      <c r="H37" s="368">
        <v>0</v>
      </c>
      <c r="I37" s="368">
        <v>3500</v>
      </c>
      <c r="J37" s="368">
        <v>0</v>
      </c>
      <c r="K37" s="368">
        <v>0</v>
      </c>
      <c r="L37" s="368"/>
      <c r="M37" s="368"/>
      <c r="N37" s="368"/>
      <c r="O37" s="368">
        <v>0</v>
      </c>
      <c r="P37" s="368"/>
      <c r="Q37" s="368"/>
      <c r="R37" s="368">
        <v>0</v>
      </c>
    </row>
    <row r="38" spans="1:18" ht="17.25" customHeight="1">
      <c r="A38" s="370"/>
      <c r="B38" s="370"/>
      <c r="C38" s="356">
        <v>4280</v>
      </c>
      <c r="D38" s="367" t="s">
        <v>341</v>
      </c>
      <c r="E38" s="363">
        <f>F38+O38</f>
        <v>100</v>
      </c>
      <c r="F38" s="363">
        <f>G38+J38+K38+L38+M38+N38</f>
        <v>100</v>
      </c>
      <c r="G38" s="363">
        <f>H38+I38</f>
        <v>100</v>
      </c>
      <c r="H38" s="368">
        <v>0</v>
      </c>
      <c r="I38" s="368">
        <v>100</v>
      </c>
      <c r="J38" s="368">
        <v>0</v>
      </c>
      <c r="K38" s="368">
        <v>0</v>
      </c>
      <c r="L38" s="368"/>
      <c r="M38" s="368"/>
      <c r="N38" s="368"/>
      <c r="O38" s="368">
        <v>0</v>
      </c>
      <c r="P38" s="368"/>
      <c r="Q38" s="368"/>
      <c r="R38" s="368">
        <v>0</v>
      </c>
    </row>
    <row r="39" spans="1:18" ht="27" customHeight="1">
      <c r="A39" s="356"/>
      <c r="B39" s="356"/>
      <c r="C39" s="356">
        <v>4440</v>
      </c>
      <c r="D39" s="367" t="s">
        <v>303</v>
      </c>
      <c r="E39" s="363">
        <f>F39+O39</f>
        <v>3740</v>
      </c>
      <c r="F39" s="363">
        <f>G39+J39+K39+L39+M39+N39</f>
        <v>3740</v>
      </c>
      <c r="G39" s="363">
        <f>H39+I39</f>
        <v>3740</v>
      </c>
      <c r="H39" s="368">
        <v>0</v>
      </c>
      <c r="I39" s="354">
        <v>3740</v>
      </c>
      <c r="J39" s="368">
        <v>0</v>
      </c>
      <c r="K39" s="368">
        <v>0</v>
      </c>
      <c r="L39" s="368"/>
      <c r="M39" s="368"/>
      <c r="N39" s="368"/>
      <c r="O39" s="368">
        <v>0</v>
      </c>
      <c r="P39" s="368"/>
      <c r="Q39" s="368"/>
      <c r="R39" s="368">
        <v>0</v>
      </c>
    </row>
    <row r="40" spans="1:18" ht="27" customHeight="1">
      <c r="A40" s="346"/>
      <c r="B40" s="345">
        <v>80146</v>
      </c>
      <c r="C40" s="352"/>
      <c r="D40" s="346" t="s">
        <v>362</v>
      </c>
      <c r="E40" s="347">
        <f>SUM(E41:E45)</f>
        <v>6694</v>
      </c>
      <c r="F40" s="347">
        <f>SUM(F41:F45)</f>
        <v>6694</v>
      </c>
      <c r="G40" s="347">
        <f>SUM(G41:G45)</f>
        <v>6694</v>
      </c>
      <c r="H40" s="347">
        <f>SUM(H41:H45)</f>
        <v>0</v>
      </c>
      <c r="I40" s="347">
        <f>SUM(I41:I45)</f>
        <v>6694</v>
      </c>
      <c r="J40" s="347">
        <f>SUM(J41:J45)</f>
        <v>0</v>
      </c>
      <c r="K40" s="347">
        <f>SUM(K41:K45)</f>
        <v>0</v>
      </c>
      <c r="L40" s="347">
        <f>SUM(L41:L45)</f>
        <v>0</v>
      </c>
      <c r="M40" s="347">
        <f>SUM(M41:M45)</f>
        <v>0</v>
      </c>
      <c r="N40" s="347">
        <f>SUM(N41:N45)</f>
        <v>0</v>
      </c>
      <c r="O40" s="347">
        <f>SUM(O41:O45)</f>
        <v>0</v>
      </c>
      <c r="P40" s="347">
        <f>SUM(P41:P45)</f>
        <v>0</v>
      </c>
      <c r="Q40" s="347">
        <f>SUM(Q41:Q45)</f>
        <v>0</v>
      </c>
      <c r="R40" s="347">
        <f>SUM(R41:R45)</f>
        <v>0</v>
      </c>
    </row>
    <row r="41" spans="1:18" ht="17.25" customHeight="1">
      <c r="A41" s="346"/>
      <c r="B41" s="345"/>
      <c r="C41" s="349">
        <v>4210</v>
      </c>
      <c r="D41" s="350" t="s">
        <v>339</v>
      </c>
      <c r="E41" s="363">
        <f>F41+O41</f>
        <v>0</v>
      </c>
      <c r="F41" s="363">
        <f>G41+J41+K41+L41+M41+N41</f>
        <v>0</v>
      </c>
      <c r="G41" s="363">
        <f>H41+I41</f>
        <v>0</v>
      </c>
      <c r="H41" s="347"/>
      <c r="I41" s="354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27" customHeight="1">
      <c r="A42" s="345"/>
      <c r="B42" s="345"/>
      <c r="C42" s="373">
        <v>4240</v>
      </c>
      <c r="D42" s="353" t="s">
        <v>340</v>
      </c>
      <c r="E42" s="363">
        <f>F42+O42</f>
        <v>594</v>
      </c>
      <c r="F42" s="363">
        <f>G42+J42+K42+L42+M42+N42</f>
        <v>594</v>
      </c>
      <c r="G42" s="363">
        <f>H42+I42</f>
        <v>594</v>
      </c>
      <c r="H42" s="354">
        <v>0</v>
      </c>
      <c r="I42" s="354">
        <v>594</v>
      </c>
      <c r="J42" s="354">
        <v>0</v>
      </c>
      <c r="K42" s="365">
        <v>0</v>
      </c>
      <c r="L42" s="354"/>
      <c r="M42" s="354"/>
      <c r="N42" s="354"/>
      <c r="O42" s="354">
        <v>0</v>
      </c>
      <c r="P42" s="354"/>
      <c r="Q42" s="354"/>
      <c r="R42" s="354">
        <v>0</v>
      </c>
    </row>
    <row r="43" spans="1:18" ht="17.25" customHeight="1">
      <c r="A43" s="352"/>
      <c r="B43" s="352"/>
      <c r="C43" s="352">
        <v>4300</v>
      </c>
      <c r="D43" s="353" t="s">
        <v>350</v>
      </c>
      <c r="E43" s="363">
        <f>F43+O43</f>
        <v>3200</v>
      </c>
      <c r="F43" s="363">
        <f>G43+J43+K43+L43+M43+N43</f>
        <v>3200</v>
      </c>
      <c r="G43" s="363">
        <f>H43+I43</f>
        <v>3200</v>
      </c>
      <c r="H43" s="354">
        <v>0</v>
      </c>
      <c r="I43" s="354">
        <v>3200</v>
      </c>
      <c r="J43" s="354">
        <v>0</v>
      </c>
      <c r="K43" s="365">
        <v>0</v>
      </c>
      <c r="L43" s="354"/>
      <c r="M43" s="354"/>
      <c r="N43" s="354"/>
      <c r="O43" s="354">
        <v>0</v>
      </c>
      <c r="P43" s="354"/>
      <c r="Q43" s="354"/>
      <c r="R43" s="354">
        <v>0</v>
      </c>
    </row>
    <row r="44" spans="1:18" ht="17.25" customHeight="1">
      <c r="A44" s="352"/>
      <c r="B44" s="352"/>
      <c r="C44" s="352">
        <v>4410</v>
      </c>
      <c r="D44" s="353" t="s">
        <v>353</v>
      </c>
      <c r="E44" s="363">
        <f>F44+O44</f>
        <v>1900</v>
      </c>
      <c r="F44" s="363">
        <f>G44+J44+K44+L44+M44+N44</f>
        <v>1900</v>
      </c>
      <c r="G44" s="363">
        <f>H44+I44</f>
        <v>1900</v>
      </c>
      <c r="H44" s="354">
        <v>0</v>
      </c>
      <c r="I44" s="354">
        <v>1900</v>
      </c>
      <c r="J44" s="354">
        <v>0</v>
      </c>
      <c r="K44" s="365">
        <v>0</v>
      </c>
      <c r="L44" s="354"/>
      <c r="M44" s="354"/>
      <c r="N44" s="354"/>
      <c r="O44" s="354">
        <v>0</v>
      </c>
      <c r="P44" s="354"/>
      <c r="Q44" s="354"/>
      <c r="R44" s="354">
        <v>0</v>
      </c>
    </row>
    <row r="45" spans="1:18" ht="38.25" customHeight="1">
      <c r="A45" s="352"/>
      <c r="B45" s="352"/>
      <c r="C45" s="352">
        <v>4700</v>
      </c>
      <c r="D45" s="366" t="s">
        <v>355</v>
      </c>
      <c r="E45" s="363">
        <f>F45+O45</f>
        <v>1000</v>
      </c>
      <c r="F45" s="363">
        <f>G45+J45+K45+L45+M45+N45</f>
        <v>1000</v>
      </c>
      <c r="G45" s="363">
        <f>H45+I45</f>
        <v>1000</v>
      </c>
      <c r="H45" s="354">
        <v>0</v>
      </c>
      <c r="I45" s="354">
        <v>1000</v>
      </c>
      <c r="J45" s="354">
        <v>0</v>
      </c>
      <c r="K45" s="365">
        <v>0</v>
      </c>
      <c r="L45" s="354"/>
      <c r="M45" s="354"/>
      <c r="N45" s="354"/>
      <c r="O45" s="354">
        <v>0</v>
      </c>
      <c r="P45" s="354"/>
      <c r="Q45" s="354"/>
      <c r="R45" s="354">
        <v>0</v>
      </c>
    </row>
    <row r="46" spans="1:18" ht="16.5" customHeight="1">
      <c r="A46" s="345"/>
      <c r="B46" s="345">
        <v>80195</v>
      </c>
      <c r="C46" s="352"/>
      <c r="D46" s="346" t="s">
        <v>95</v>
      </c>
      <c r="E46" s="347">
        <f>SUM(E47:E47)</f>
        <v>21804</v>
      </c>
      <c r="F46" s="347">
        <f>SUM(F47:F47)</f>
        <v>21804</v>
      </c>
      <c r="G46" s="347">
        <f>SUM(G47:G47)</f>
        <v>21804</v>
      </c>
      <c r="H46" s="347">
        <f>SUM(H47:H47)</f>
        <v>0</v>
      </c>
      <c r="I46" s="347">
        <f>SUM(I47:I47)</f>
        <v>21804</v>
      </c>
      <c r="J46" s="347">
        <f>SUM(J47:J47)</f>
        <v>0</v>
      </c>
      <c r="K46" s="347">
        <f>SUM(K47:K47)</f>
        <v>0</v>
      </c>
      <c r="L46" s="347">
        <f>SUM(L47:L47)</f>
        <v>0</v>
      </c>
      <c r="M46" s="347">
        <f>SUM(M47:M47)</f>
        <v>0</v>
      </c>
      <c r="N46" s="347">
        <f>SUM(N47:N47)</f>
        <v>0</v>
      </c>
      <c r="O46" s="347">
        <f>SUM(O47:O47)</f>
        <v>0</v>
      </c>
      <c r="P46" s="347">
        <f>SUM(P47:P47)</f>
        <v>0</v>
      </c>
      <c r="Q46" s="347">
        <f>SUM(Q47:Q47)</f>
        <v>0</v>
      </c>
      <c r="R46" s="347">
        <f>SUM(R47:R47)</f>
        <v>0</v>
      </c>
    </row>
    <row r="47" spans="1:18" ht="27" customHeight="1">
      <c r="A47" s="345"/>
      <c r="B47" s="345"/>
      <c r="C47" s="352">
        <v>4440</v>
      </c>
      <c r="D47" s="353" t="s">
        <v>303</v>
      </c>
      <c r="E47" s="363">
        <f>F47+O47</f>
        <v>21804</v>
      </c>
      <c r="F47" s="363">
        <f>G47+J47+K47+L47+M47+N47</f>
        <v>21804</v>
      </c>
      <c r="G47" s="363">
        <f>H47+I47</f>
        <v>21804</v>
      </c>
      <c r="H47" s="354">
        <v>0</v>
      </c>
      <c r="I47" s="354">
        <v>21804</v>
      </c>
      <c r="J47" s="354">
        <v>0</v>
      </c>
      <c r="K47" s="354">
        <v>0</v>
      </c>
      <c r="L47" s="354"/>
      <c r="M47" s="354"/>
      <c r="N47" s="354"/>
      <c r="O47" s="354"/>
      <c r="P47" s="354"/>
      <c r="Q47" s="354"/>
      <c r="R47" s="354">
        <v>0</v>
      </c>
    </row>
    <row r="48" spans="1:18" ht="12.75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</row>
  </sheetData>
  <mergeCells count="20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33333333333334" bottom="0.8555555555555556" header="0.5902777777777778" footer="0.5902777777777778"/>
  <pageSetup horizontalDpi="300" verticalDpi="300" orientation="landscape" paperSize="9" scale="79"/>
  <headerFooter alignWithMargins="0">
    <oddHeader>&amp;R&amp;"Times New Roman,Normalny"&amp;12Załącznik Nr 16 do projektu uchwały Nr .. Rady Miejskiej w Barlinku z dnia ........grudnia 2010</oddHeader>
    <oddFooter>&amp;C&amp;"Times New Roman,Normalny"&amp;12Strona &amp;P z &amp;N</oddFooter>
  </headerFooter>
  <rowBreaks count="1" manualBreakCount="1">
    <brk id="2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61"/>
  <sheetViews>
    <sheetView showGridLines="0" defaultGridColor="0" view="pageBreakPreview" zoomScaleSheetLayoutView="100" colorId="15" workbookViewId="0" topLeftCell="A1">
      <pane ySplit="6" topLeftCell="A42" activePane="bottomLeft" state="frozen"/>
      <selection pane="topLeft" activeCell="A1" sqref="A1"/>
      <selection pane="bottomLeft" activeCell="R61" sqref="R61"/>
    </sheetView>
  </sheetViews>
  <sheetFormatPr defaultColWidth="9.00390625" defaultRowHeight="12.75"/>
  <cols>
    <col min="1" max="1" width="5.00390625" style="375" customWidth="1"/>
    <col min="2" max="2" width="7.125" style="375" customWidth="1"/>
    <col min="3" max="3" width="6.125" style="375" customWidth="1"/>
    <col min="4" max="4" width="41.625" style="375" customWidth="1"/>
    <col min="5" max="5" width="11.375" style="375" customWidth="1"/>
    <col min="6" max="6" width="10.125" style="375" customWidth="1"/>
    <col min="7" max="7" width="11.625" style="375" customWidth="1"/>
    <col min="8" max="8" width="9.25390625" style="375" customWidth="1"/>
    <col min="9" max="9" width="11.625" style="375" customWidth="1"/>
    <col min="10" max="10" width="7.625" style="375" customWidth="1"/>
    <col min="11" max="11" width="8.75390625" style="375" customWidth="1"/>
    <col min="12" max="12" width="11.625" style="375" customWidth="1"/>
    <col min="13" max="13" width="7.625" style="375" customWidth="1"/>
    <col min="14" max="14" width="6.875" style="375" customWidth="1"/>
    <col min="15" max="15" width="8.125" style="375" customWidth="1"/>
    <col min="16" max="16" width="8.00390625" style="375" customWidth="1"/>
    <col min="17" max="17" width="9.75390625" style="375" customWidth="1"/>
    <col min="18" max="18" width="7.625" style="375" customWidth="1"/>
    <col min="19" max="16384" width="9.00390625" style="375" customWidth="1"/>
  </cols>
  <sheetData>
    <row r="1" spans="1:18" s="377" customFormat="1" ht="26.25" customHeight="1">
      <c r="A1" s="376" t="s">
        <v>472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1:18" s="377" customFormat="1" ht="31.5" customHeight="1">
      <c r="A2" s="168" t="s">
        <v>66</v>
      </c>
      <c r="B2" s="168" t="s">
        <v>86</v>
      </c>
      <c r="C2" s="168" t="s">
        <v>87</v>
      </c>
      <c r="D2" s="168" t="s">
        <v>251</v>
      </c>
      <c r="E2" s="168" t="s">
        <v>252</v>
      </c>
      <c r="F2" s="169" t="s">
        <v>253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377" customFormat="1" ht="13.5" customHeight="1">
      <c r="A3" s="168"/>
      <c r="B3" s="168"/>
      <c r="C3" s="168"/>
      <c r="D3" s="168"/>
      <c r="E3" s="168"/>
      <c r="F3" s="170" t="s">
        <v>242</v>
      </c>
      <c r="G3" s="171" t="s">
        <v>90</v>
      </c>
      <c r="H3" s="171"/>
      <c r="I3" s="171"/>
      <c r="J3" s="171"/>
      <c r="K3" s="171"/>
      <c r="L3" s="171"/>
      <c r="M3" s="171"/>
      <c r="N3" s="171"/>
      <c r="O3" s="172" t="s">
        <v>254</v>
      </c>
      <c r="P3" s="171" t="s">
        <v>90</v>
      </c>
      <c r="Q3" s="171"/>
      <c r="R3" s="171"/>
    </row>
    <row r="4" spans="1:18" s="378" customFormat="1" ht="13.5" customHeight="1">
      <c r="A4" s="168"/>
      <c r="B4" s="168"/>
      <c r="C4" s="168"/>
      <c r="D4" s="168"/>
      <c r="E4" s="168"/>
      <c r="F4" s="170"/>
      <c r="G4" s="170" t="s">
        <v>255</v>
      </c>
      <c r="H4" s="171" t="s">
        <v>13</v>
      </c>
      <c r="I4" s="171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172"/>
      <c r="P4" s="254" t="s">
        <v>260</v>
      </c>
      <c r="Q4" s="255" t="s">
        <v>90</v>
      </c>
      <c r="R4" s="254" t="s">
        <v>261</v>
      </c>
    </row>
    <row r="5" spans="1:18" s="378" customFormat="1" ht="87" customHeight="1">
      <c r="A5" s="168"/>
      <c r="B5" s="168"/>
      <c r="C5" s="168"/>
      <c r="D5" s="168"/>
      <c r="E5" s="168"/>
      <c r="F5" s="170"/>
      <c r="G5" s="170"/>
      <c r="H5" s="172" t="s">
        <v>262</v>
      </c>
      <c r="I5" s="254" t="s">
        <v>263</v>
      </c>
      <c r="J5" s="254"/>
      <c r="K5" s="254"/>
      <c r="L5" s="254"/>
      <c r="M5" s="254"/>
      <c r="N5" s="254"/>
      <c r="O5" s="172"/>
      <c r="P5" s="254"/>
      <c r="Q5" s="256" t="s">
        <v>264</v>
      </c>
      <c r="R5" s="254"/>
    </row>
    <row r="6" spans="1:18" s="378" customFormat="1" ht="12.75">
      <c r="A6" s="379">
        <v>1</v>
      </c>
      <c r="B6" s="379">
        <v>2</v>
      </c>
      <c r="C6" s="379">
        <v>3</v>
      </c>
      <c r="D6" s="379">
        <v>4</v>
      </c>
      <c r="E6" s="379">
        <v>5</v>
      </c>
      <c r="F6" s="379">
        <v>6</v>
      </c>
      <c r="G6" s="379">
        <v>7</v>
      </c>
      <c r="H6" s="379">
        <v>8</v>
      </c>
      <c r="I6" s="379">
        <v>9</v>
      </c>
      <c r="J6" s="379">
        <v>10</v>
      </c>
      <c r="K6" s="379">
        <v>11</v>
      </c>
      <c r="L6" s="379">
        <v>12</v>
      </c>
      <c r="M6" s="379">
        <v>13</v>
      </c>
      <c r="N6" s="379">
        <v>14</v>
      </c>
      <c r="O6" s="379">
        <v>15</v>
      </c>
      <c r="P6" s="379">
        <v>16</v>
      </c>
      <c r="Q6" s="379">
        <v>17</v>
      </c>
      <c r="R6" s="379">
        <v>18</v>
      </c>
    </row>
    <row r="7" spans="1:18" s="377" customFormat="1" ht="16.5" customHeight="1">
      <c r="A7" s="343">
        <v>801</v>
      </c>
      <c r="B7" s="343"/>
      <c r="C7" s="343"/>
      <c r="D7" s="343" t="s">
        <v>180</v>
      </c>
      <c r="E7" s="344">
        <f>E8+E30+E46+E60+E40</f>
        <v>1054360</v>
      </c>
      <c r="F7" s="344">
        <f>F9+F30+F46+F60+F40</f>
        <v>180836</v>
      </c>
      <c r="G7" s="344">
        <f>G9+G30+G46+G60+G40</f>
        <v>141177</v>
      </c>
      <c r="H7" s="344">
        <f>H9+H30+H46+H60+H40</f>
        <v>70434</v>
      </c>
      <c r="I7" s="344">
        <f>I9+I30+I46+I60+I40</f>
        <v>70743</v>
      </c>
      <c r="J7" s="344">
        <f>J9+J30+J46+J60+J40</f>
        <v>0</v>
      </c>
      <c r="K7" s="344">
        <f>K9+K30+K46+K60+K40</f>
        <v>39659</v>
      </c>
      <c r="L7" s="344">
        <f>L9+L30+L46+L60+L40</f>
        <v>0</v>
      </c>
      <c r="M7" s="344">
        <f>M9+M30+M46+M60+M40</f>
        <v>0</v>
      </c>
      <c r="N7" s="344">
        <f>N9+N30+N46+N60+N40</f>
        <v>0</v>
      </c>
      <c r="O7" s="344">
        <f>O9+O30+O46+O60+O40</f>
        <v>0</v>
      </c>
      <c r="P7" s="344">
        <f>P9+P30+P46+P60+P40</f>
        <v>0</v>
      </c>
      <c r="Q7" s="344">
        <f>Q9+Q30+Q46+Q60+Q40</f>
        <v>0</v>
      </c>
      <c r="R7" s="344">
        <f>R9+R30+R46+R60+R40</f>
        <v>0</v>
      </c>
    </row>
    <row r="8" spans="1:18" s="380" customFormat="1" ht="18" customHeight="1">
      <c r="A8" s="345"/>
      <c r="B8" s="345">
        <v>80101</v>
      </c>
      <c r="C8" s="345"/>
      <c r="D8" s="346" t="s">
        <v>181</v>
      </c>
      <c r="E8" s="347">
        <f>SUM(E9:E29)</f>
        <v>910072</v>
      </c>
      <c r="F8" s="347">
        <f>SUM(F9:F29)</f>
        <v>910072</v>
      </c>
      <c r="G8" s="347">
        <f>SUM(G9:G29)</f>
        <v>873524</v>
      </c>
      <c r="H8" s="347">
        <f>SUM(H9:H29)</f>
        <v>705609</v>
      </c>
      <c r="I8" s="347">
        <f>SUM(I9:I29)</f>
        <v>167915</v>
      </c>
      <c r="J8" s="347">
        <f>SUM(J9:J29)</f>
        <v>0</v>
      </c>
      <c r="K8" s="347">
        <f>SUM(K9:K29)</f>
        <v>36548</v>
      </c>
      <c r="L8" s="347">
        <f>SUM(L9:L29)</f>
        <v>0</v>
      </c>
      <c r="M8" s="347">
        <f>SUM(M9:M29)</f>
        <v>0</v>
      </c>
      <c r="N8" s="347">
        <f>SUM(N9:N29)</f>
        <v>0</v>
      </c>
      <c r="O8" s="347">
        <f>SUM(O9:O29)</f>
        <v>0</v>
      </c>
      <c r="P8" s="347">
        <f>SUM(P9:P29)</f>
        <v>0</v>
      </c>
      <c r="Q8" s="347">
        <f>SUM(Q9:Q29)</f>
        <v>0</v>
      </c>
      <c r="R8" s="347">
        <f>SUM(R9:R29)</f>
        <v>0</v>
      </c>
    </row>
    <row r="9" spans="1:18" s="380" customFormat="1" ht="18" customHeight="1">
      <c r="A9" s="381"/>
      <c r="B9" s="381"/>
      <c r="C9" s="373">
        <v>3020</v>
      </c>
      <c r="D9" s="353" t="s">
        <v>465</v>
      </c>
      <c r="E9" s="351">
        <f>F9+O9</f>
        <v>36548</v>
      </c>
      <c r="F9" s="382">
        <f>G9+J9+K9+L9+M9+N9</f>
        <v>36548</v>
      </c>
      <c r="G9" s="382"/>
      <c r="H9" s="382"/>
      <c r="I9" s="382"/>
      <c r="J9" s="382">
        <v>0</v>
      </c>
      <c r="K9" s="382">
        <v>36548</v>
      </c>
      <c r="L9" s="382"/>
      <c r="M9" s="382"/>
      <c r="N9" s="383"/>
      <c r="O9" s="383"/>
      <c r="P9" s="383"/>
      <c r="Q9" s="383"/>
      <c r="R9" s="383"/>
    </row>
    <row r="10" spans="1:18" s="380" customFormat="1" ht="18" customHeight="1">
      <c r="A10" s="381"/>
      <c r="B10" s="381"/>
      <c r="C10" s="373">
        <v>3240</v>
      </c>
      <c r="D10" s="353" t="s">
        <v>357</v>
      </c>
      <c r="E10" s="351">
        <f>F10+O10</f>
        <v>0</v>
      </c>
      <c r="F10" s="382"/>
      <c r="G10" s="382"/>
      <c r="H10" s="382"/>
      <c r="I10" s="382"/>
      <c r="J10" s="382"/>
      <c r="K10" s="382"/>
      <c r="L10" s="382"/>
      <c r="M10" s="383"/>
      <c r="N10" s="383"/>
      <c r="O10" s="383"/>
      <c r="P10" s="383"/>
      <c r="Q10" s="383"/>
      <c r="R10" s="383"/>
    </row>
    <row r="11" spans="1:18" s="380" customFormat="1" ht="18" customHeight="1">
      <c r="A11" s="381"/>
      <c r="B11" s="381"/>
      <c r="C11" s="373">
        <v>4010</v>
      </c>
      <c r="D11" s="353" t="s">
        <v>328</v>
      </c>
      <c r="E11" s="351">
        <f>F11+O11</f>
        <v>518968</v>
      </c>
      <c r="F11" s="382">
        <f>G11+J11+K11+L11+M11+N11</f>
        <v>518968</v>
      </c>
      <c r="G11" s="382">
        <f>H11+I11</f>
        <v>518968</v>
      </c>
      <c r="H11" s="382">
        <f>(85503+1500+12897+2972)+(284076+55625+49437+5400+600+7200+2469+11289)</f>
        <v>518968</v>
      </c>
      <c r="I11" s="382"/>
      <c r="J11" s="382"/>
      <c r="K11" s="382"/>
      <c r="L11" s="382"/>
      <c r="M11" s="383"/>
      <c r="N11" s="383"/>
      <c r="O11" s="383"/>
      <c r="P11" s="383"/>
      <c r="Q11" s="383"/>
      <c r="R11" s="383"/>
    </row>
    <row r="12" spans="1:18" s="380" customFormat="1" ht="18" customHeight="1">
      <c r="A12" s="381"/>
      <c r="B12" s="381"/>
      <c r="C12" s="373">
        <v>4040</v>
      </c>
      <c r="D12" s="353" t="s">
        <v>473</v>
      </c>
      <c r="E12" s="351">
        <f>F12+O12</f>
        <v>44011</v>
      </c>
      <c r="F12" s="382">
        <f>G12+J12+K12+L12+M12+N12</f>
        <v>44011</v>
      </c>
      <c r="G12" s="382">
        <f>H12+I12</f>
        <v>44011</v>
      </c>
      <c r="H12" s="382">
        <v>44011</v>
      </c>
      <c r="I12" s="382"/>
      <c r="J12" s="382"/>
      <c r="K12" s="382"/>
      <c r="L12" s="382"/>
      <c r="M12" s="383"/>
      <c r="N12" s="383"/>
      <c r="O12" s="383"/>
      <c r="P12" s="383"/>
      <c r="Q12" s="383"/>
      <c r="R12" s="383"/>
    </row>
    <row r="13" spans="1:18" s="380" customFormat="1" ht="18" customHeight="1">
      <c r="A13" s="381"/>
      <c r="B13" s="381"/>
      <c r="C13" s="373">
        <v>4110</v>
      </c>
      <c r="D13" s="353" t="s">
        <v>347</v>
      </c>
      <c r="E13" s="351">
        <f>F13+O13</f>
        <v>93192</v>
      </c>
      <c r="F13" s="382">
        <f>G13+J13+K13+L13+M13+N13</f>
        <v>93192</v>
      </c>
      <c r="G13" s="382">
        <f>H13+I13</f>
        <v>93192</v>
      </c>
      <c r="H13" s="382">
        <v>93192</v>
      </c>
      <c r="I13" s="382"/>
      <c r="J13" s="382"/>
      <c r="K13" s="382"/>
      <c r="L13" s="382"/>
      <c r="M13" s="383"/>
      <c r="N13" s="383"/>
      <c r="O13" s="383"/>
      <c r="P13" s="383"/>
      <c r="Q13" s="383"/>
      <c r="R13" s="383"/>
    </row>
    <row r="14" spans="1:18" s="380" customFormat="1" ht="18" customHeight="1">
      <c r="A14" s="381"/>
      <c r="B14" s="381"/>
      <c r="C14" s="373">
        <v>4120</v>
      </c>
      <c r="D14" s="353" t="s">
        <v>348</v>
      </c>
      <c r="E14" s="351">
        <f>F14+O14</f>
        <v>20638</v>
      </c>
      <c r="F14" s="382">
        <f>G14+J14+K14+L14+M14+N14</f>
        <v>20638</v>
      </c>
      <c r="G14" s="382">
        <f>H14+I14</f>
        <v>20638</v>
      </c>
      <c r="H14" s="382">
        <v>20638</v>
      </c>
      <c r="I14" s="382"/>
      <c r="J14" s="382"/>
      <c r="K14" s="382"/>
      <c r="L14" s="382"/>
      <c r="M14" s="383"/>
      <c r="N14" s="383"/>
      <c r="O14" s="383"/>
      <c r="P14" s="383"/>
      <c r="Q14" s="383"/>
      <c r="R14" s="383"/>
    </row>
    <row r="15" spans="1:18" s="380" customFormat="1" ht="18" customHeight="1">
      <c r="A15" s="381"/>
      <c r="B15" s="381"/>
      <c r="C15" s="373">
        <v>4170</v>
      </c>
      <c r="D15" s="353" t="s">
        <v>388</v>
      </c>
      <c r="E15" s="351">
        <f>F15+O15</f>
        <v>28800</v>
      </c>
      <c r="F15" s="382">
        <f>G15+J15+K15+L15+M15+N15</f>
        <v>28800</v>
      </c>
      <c r="G15" s="382">
        <f>H15+I15</f>
        <v>28800</v>
      </c>
      <c r="H15" s="382">
        <v>28800</v>
      </c>
      <c r="I15" s="382"/>
      <c r="J15" s="382"/>
      <c r="K15" s="382"/>
      <c r="L15" s="382"/>
      <c r="M15" s="383"/>
      <c r="N15" s="383"/>
      <c r="O15" s="383"/>
      <c r="P15" s="383"/>
      <c r="Q15" s="383"/>
      <c r="R15" s="383"/>
    </row>
    <row r="16" spans="1:18" s="380" customFormat="1" ht="18" customHeight="1">
      <c r="A16" s="381"/>
      <c r="B16" s="381"/>
      <c r="C16" s="373">
        <v>4210</v>
      </c>
      <c r="D16" s="353" t="s">
        <v>339</v>
      </c>
      <c r="E16" s="351">
        <f>F16+O16</f>
        <v>5000</v>
      </c>
      <c r="F16" s="382">
        <f>G16+J16+K16+L16+M16+N16</f>
        <v>5000</v>
      </c>
      <c r="G16" s="382">
        <f>H16+I16</f>
        <v>5000</v>
      </c>
      <c r="H16" s="382"/>
      <c r="I16" s="382">
        <v>5000</v>
      </c>
      <c r="J16" s="382"/>
      <c r="K16" s="382"/>
      <c r="L16" s="382"/>
      <c r="M16" s="383"/>
      <c r="N16" s="383"/>
      <c r="O16" s="383"/>
      <c r="P16" s="383"/>
      <c r="Q16" s="383"/>
      <c r="R16" s="383"/>
    </row>
    <row r="17" spans="1:18" s="380" customFormat="1" ht="18" customHeight="1">
      <c r="A17" s="381"/>
      <c r="B17" s="381"/>
      <c r="C17" s="373">
        <v>4240</v>
      </c>
      <c r="D17" s="353" t="s">
        <v>340</v>
      </c>
      <c r="E17" s="351">
        <f>F17+O17</f>
        <v>5000</v>
      </c>
      <c r="F17" s="382">
        <f>G17+J17+K17+L17+M17+N17</f>
        <v>5000</v>
      </c>
      <c r="G17" s="382">
        <f>H17+I17</f>
        <v>5000</v>
      </c>
      <c r="H17" s="382"/>
      <c r="I17" s="382">
        <v>5000</v>
      </c>
      <c r="J17" s="382"/>
      <c r="K17" s="382"/>
      <c r="L17" s="382"/>
      <c r="M17" s="383"/>
      <c r="N17" s="383"/>
      <c r="O17" s="383"/>
      <c r="P17" s="383"/>
      <c r="Q17" s="383"/>
      <c r="R17" s="383"/>
    </row>
    <row r="18" spans="1:18" s="380" customFormat="1" ht="18" customHeight="1">
      <c r="A18" s="381"/>
      <c r="B18" s="381"/>
      <c r="C18" s="373">
        <v>4260</v>
      </c>
      <c r="D18" s="353" t="s">
        <v>349</v>
      </c>
      <c r="E18" s="351">
        <f>F18+O18</f>
        <v>90000</v>
      </c>
      <c r="F18" s="382">
        <f>G18+J18+K18+L18+M18+N18</f>
        <v>90000</v>
      </c>
      <c r="G18" s="382">
        <f>H18+I18</f>
        <v>90000</v>
      </c>
      <c r="H18" s="382"/>
      <c r="I18" s="382">
        <v>90000</v>
      </c>
      <c r="J18" s="382"/>
      <c r="K18" s="382"/>
      <c r="L18" s="382"/>
      <c r="M18" s="383"/>
      <c r="N18" s="383"/>
      <c r="O18" s="383"/>
      <c r="P18" s="383"/>
      <c r="Q18" s="383"/>
      <c r="R18" s="383"/>
    </row>
    <row r="19" spans="1:18" s="380" customFormat="1" ht="18" customHeight="1">
      <c r="A19" s="381"/>
      <c r="B19" s="381"/>
      <c r="C19" s="373">
        <v>4270</v>
      </c>
      <c r="D19" s="353" t="s">
        <v>294</v>
      </c>
      <c r="E19" s="351">
        <f>F19+O19</f>
        <v>10000</v>
      </c>
      <c r="F19" s="382">
        <f>G19+J19+K19+L19+M19+N19</f>
        <v>10000</v>
      </c>
      <c r="G19" s="382">
        <f>H19+I19</f>
        <v>10000</v>
      </c>
      <c r="H19" s="382"/>
      <c r="I19" s="382">
        <v>10000</v>
      </c>
      <c r="J19" s="382"/>
      <c r="K19" s="382"/>
      <c r="L19" s="382"/>
      <c r="M19" s="383"/>
      <c r="N19" s="383"/>
      <c r="O19" s="383"/>
      <c r="P19" s="383"/>
      <c r="Q19" s="383"/>
      <c r="R19" s="383"/>
    </row>
    <row r="20" spans="1:18" s="380" customFormat="1" ht="18" customHeight="1">
      <c r="A20" s="381"/>
      <c r="B20" s="381"/>
      <c r="C20" s="373">
        <v>4280</v>
      </c>
      <c r="D20" s="353" t="s">
        <v>341</v>
      </c>
      <c r="E20" s="351">
        <f>F20+O20</f>
        <v>500</v>
      </c>
      <c r="F20" s="382">
        <f>G20+J20+K20+L20+M20+N20</f>
        <v>500</v>
      </c>
      <c r="G20" s="382">
        <f>H20+I20</f>
        <v>500</v>
      </c>
      <c r="H20" s="382"/>
      <c r="I20" s="382">
        <v>500</v>
      </c>
      <c r="J20" s="382"/>
      <c r="K20" s="382"/>
      <c r="L20" s="382"/>
      <c r="M20" s="383"/>
      <c r="N20" s="383"/>
      <c r="O20" s="383"/>
      <c r="P20" s="383"/>
      <c r="Q20" s="383"/>
      <c r="R20" s="383"/>
    </row>
    <row r="21" spans="1:18" s="380" customFormat="1" ht="18" customHeight="1">
      <c r="A21" s="381"/>
      <c r="B21" s="381"/>
      <c r="C21" s="373">
        <v>4300</v>
      </c>
      <c r="D21" s="353" t="s">
        <v>350</v>
      </c>
      <c r="E21" s="351">
        <f>F21+O21</f>
        <v>20125</v>
      </c>
      <c r="F21" s="382">
        <f>G21+J21+K21+L21+M21+N21</f>
        <v>20125</v>
      </c>
      <c r="G21" s="382">
        <f>H21+I21</f>
        <v>20125</v>
      </c>
      <c r="H21" s="382"/>
      <c r="I21" s="382">
        <v>20125</v>
      </c>
      <c r="J21" s="382"/>
      <c r="K21" s="382"/>
      <c r="L21" s="382"/>
      <c r="M21" s="383"/>
      <c r="N21" s="383"/>
      <c r="O21" s="383"/>
      <c r="P21" s="383"/>
      <c r="Q21" s="383"/>
      <c r="R21" s="383"/>
    </row>
    <row r="22" spans="1:18" s="380" customFormat="1" ht="18" customHeight="1">
      <c r="A22" s="381"/>
      <c r="B22" s="381"/>
      <c r="C22" s="373">
        <v>4350</v>
      </c>
      <c r="D22" s="353" t="s">
        <v>474</v>
      </c>
      <c r="E22" s="351">
        <f>F22+O22</f>
        <v>500</v>
      </c>
      <c r="F22" s="382">
        <f>G22+J22+K22+L22+M22+N22</f>
        <v>500</v>
      </c>
      <c r="G22" s="382">
        <f>H22+I22</f>
        <v>500</v>
      </c>
      <c r="H22" s="382"/>
      <c r="I22" s="382">
        <v>500</v>
      </c>
      <c r="J22" s="382"/>
      <c r="K22" s="382"/>
      <c r="L22" s="382"/>
      <c r="M22" s="383"/>
      <c r="N22" s="383"/>
      <c r="O22" s="383"/>
      <c r="P22" s="383"/>
      <c r="Q22" s="383"/>
      <c r="R22" s="383"/>
    </row>
    <row r="23" spans="1:18" s="380" customFormat="1" ht="27" customHeight="1">
      <c r="A23" s="381"/>
      <c r="B23" s="381"/>
      <c r="C23" s="373">
        <v>4370</v>
      </c>
      <c r="D23" s="353" t="s">
        <v>467</v>
      </c>
      <c r="E23" s="351">
        <f>F23+O23</f>
        <v>2100</v>
      </c>
      <c r="F23" s="382">
        <f>G23+J23+K23+L23+M23+N23</f>
        <v>2100</v>
      </c>
      <c r="G23" s="382">
        <f>H23+I23</f>
        <v>2100</v>
      </c>
      <c r="H23" s="384"/>
      <c r="I23" s="382">
        <v>2100</v>
      </c>
      <c r="J23" s="363"/>
      <c r="K23" s="382"/>
      <c r="L23" s="363"/>
      <c r="M23" s="385"/>
      <c r="N23" s="385"/>
      <c r="O23" s="383"/>
      <c r="P23" s="385"/>
      <c r="Q23" s="385"/>
      <c r="R23" s="385"/>
    </row>
    <row r="24" spans="1:18" s="380" customFormat="1" ht="18" customHeight="1">
      <c r="A24" s="381"/>
      <c r="B24" s="381"/>
      <c r="C24" s="373">
        <v>4410</v>
      </c>
      <c r="D24" s="353" t="s">
        <v>353</v>
      </c>
      <c r="E24" s="351">
        <f>F24+O24</f>
        <v>1000</v>
      </c>
      <c r="F24" s="382">
        <f>G24+J24+K24+L24+M24+N24</f>
        <v>1000</v>
      </c>
      <c r="G24" s="382">
        <f>H24+I24</f>
        <v>1000</v>
      </c>
      <c r="H24" s="382"/>
      <c r="I24" s="382">
        <v>1000</v>
      </c>
      <c r="J24" s="382"/>
      <c r="K24" s="363"/>
      <c r="L24" s="382"/>
      <c r="M24" s="383"/>
      <c r="N24" s="383"/>
      <c r="O24" s="383"/>
      <c r="P24" s="383"/>
      <c r="Q24" s="383"/>
      <c r="R24" s="383"/>
    </row>
    <row r="25" spans="1:18" s="380" customFormat="1" ht="18" customHeight="1">
      <c r="A25" s="381"/>
      <c r="B25" s="381"/>
      <c r="C25" s="373">
        <v>4430</v>
      </c>
      <c r="D25" s="353" t="s">
        <v>354</v>
      </c>
      <c r="E25" s="351">
        <f>F25+O25</f>
        <v>2500</v>
      </c>
      <c r="F25" s="382">
        <f>G25+J25+K25+L25+M25+N25</f>
        <v>2500</v>
      </c>
      <c r="G25" s="382">
        <f>H25+I25</f>
        <v>2500</v>
      </c>
      <c r="H25" s="382"/>
      <c r="I25" s="382">
        <v>2500</v>
      </c>
      <c r="J25" s="382"/>
      <c r="K25" s="363"/>
      <c r="L25" s="382"/>
      <c r="M25" s="383"/>
      <c r="N25" s="383"/>
      <c r="O25" s="383"/>
      <c r="P25" s="383"/>
      <c r="Q25" s="383"/>
      <c r="R25" s="383"/>
    </row>
    <row r="26" spans="1:18" s="380" customFormat="1" ht="18" customHeight="1">
      <c r="A26" s="381"/>
      <c r="B26" s="381"/>
      <c r="C26" s="373">
        <v>4440</v>
      </c>
      <c r="D26" s="353" t="s">
        <v>342</v>
      </c>
      <c r="E26" s="351">
        <f>F26+O26</f>
        <v>30190</v>
      </c>
      <c r="F26" s="382">
        <f>G26+J26+K26+L26+M26+N26</f>
        <v>30190</v>
      </c>
      <c r="G26" s="382">
        <f>H26+I26</f>
        <v>30190</v>
      </c>
      <c r="H26" s="382"/>
      <c r="I26" s="382">
        <v>30190</v>
      </c>
      <c r="J26" s="382"/>
      <c r="K26" s="382"/>
      <c r="L26" s="382"/>
      <c r="M26" s="383"/>
      <c r="N26" s="383"/>
      <c r="O26" s="383"/>
      <c r="P26" s="383"/>
      <c r="Q26" s="383"/>
      <c r="R26" s="383"/>
    </row>
    <row r="27" spans="1:18" s="380" customFormat="1" ht="18" customHeight="1">
      <c r="A27" s="348"/>
      <c r="B27" s="348"/>
      <c r="C27" s="349">
        <v>4480</v>
      </c>
      <c r="D27" s="350" t="s">
        <v>335</v>
      </c>
      <c r="E27" s="351">
        <f>F27+O27</f>
        <v>0</v>
      </c>
      <c r="F27" s="351">
        <f>G27+J27+K27+L27+M27+N27</f>
        <v>0</v>
      </c>
      <c r="G27" s="351">
        <f>H27+I27</f>
        <v>0</v>
      </c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</row>
    <row r="28" spans="1:18" s="380" customFormat="1" ht="27" customHeight="1">
      <c r="A28" s="386"/>
      <c r="B28" s="386"/>
      <c r="C28" s="387">
        <v>4700</v>
      </c>
      <c r="D28" s="366" t="s">
        <v>355</v>
      </c>
      <c r="E28" s="351">
        <f>F28+O28</f>
        <v>1000</v>
      </c>
      <c r="F28" s="382">
        <f>G28+J28+K28+L28+M28+N28</f>
        <v>1000</v>
      </c>
      <c r="G28" s="382">
        <f>H28+I28</f>
        <v>1000</v>
      </c>
      <c r="H28" s="382"/>
      <c r="I28" s="382">
        <v>1000</v>
      </c>
      <c r="J28" s="382"/>
      <c r="K28" s="382"/>
      <c r="L28" s="382"/>
      <c r="M28" s="383"/>
      <c r="N28" s="383"/>
      <c r="O28" s="383"/>
      <c r="P28" s="383"/>
      <c r="Q28" s="383"/>
      <c r="R28" s="383"/>
    </row>
    <row r="29" spans="1:18" s="380" customFormat="1" ht="18" customHeight="1">
      <c r="A29" s="352"/>
      <c r="B29" s="352"/>
      <c r="C29" s="352">
        <v>6050</v>
      </c>
      <c r="D29" s="353" t="s">
        <v>437</v>
      </c>
      <c r="E29" s="351">
        <f>F29+O29</f>
        <v>0</v>
      </c>
      <c r="F29" s="351">
        <f>G29+J29+K29+L29+M29+N29</f>
        <v>0</v>
      </c>
      <c r="G29" s="351">
        <f>H29+I29</f>
        <v>0</v>
      </c>
      <c r="H29" s="354">
        <v>0</v>
      </c>
      <c r="I29" s="354">
        <v>0</v>
      </c>
      <c r="J29" s="354">
        <v>0</v>
      </c>
      <c r="K29" s="354">
        <v>0</v>
      </c>
      <c r="L29" s="354"/>
      <c r="M29" s="354"/>
      <c r="N29" s="354"/>
      <c r="O29" s="354"/>
      <c r="P29" s="354"/>
      <c r="Q29" s="354"/>
      <c r="R29" s="354">
        <v>0</v>
      </c>
    </row>
    <row r="30" spans="1:18" s="380" customFormat="1" ht="18" customHeight="1">
      <c r="A30" s="345"/>
      <c r="B30" s="345">
        <v>80103</v>
      </c>
      <c r="C30" s="352"/>
      <c r="D30" s="346" t="s">
        <v>337</v>
      </c>
      <c r="E30" s="347">
        <f>SUM(E31:E39)</f>
        <v>55968</v>
      </c>
      <c r="F30" s="347">
        <f>SUM(F31:F39)</f>
        <v>55968</v>
      </c>
      <c r="G30" s="347">
        <f>SUM(G31:G39)</f>
        <v>52857</v>
      </c>
      <c r="H30" s="347">
        <f>SUM(H31:H39)</f>
        <v>46901</v>
      </c>
      <c r="I30" s="347">
        <f>SUM(I31:I39)</f>
        <v>5956</v>
      </c>
      <c r="J30" s="347">
        <f>SUM(J31:J39)</f>
        <v>0</v>
      </c>
      <c r="K30" s="347">
        <f>SUM(K31:K39)</f>
        <v>3111</v>
      </c>
      <c r="L30" s="347">
        <f>SUM(L31:L39)</f>
        <v>0</v>
      </c>
      <c r="M30" s="347">
        <f>SUM(M31:M39)</f>
        <v>0</v>
      </c>
      <c r="N30" s="347">
        <f>SUM(N31:N39)</f>
        <v>0</v>
      </c>
      <c r="O30" s="347">
        <f>SUM(O31:O39)</f>
        <v>0</v>
      </c>
      <c r="P30" s="347">
        <f>SUM(P31:P39)</f>
        <v>0</v>
      </c>
      <c r="Q30" s="347">
        <f>SUM(Q31:Q39)</f>
        <v>0</v>
      </c>
      <c r="R30" s="347">
        <f>SUM(R31:R39)</f>
        <v>0</v>
      </c>
    </row>
    <row r="31" spans="1:18" s="380" customFormat="1" ht="18" customHeight="1">
      <c r="A31" s="381"/>
      <c r="B31" s="381"/>
      <c r="C31" s="373">
        <v>3020</v>
      </c>
      <c r="D31" s="353" t="s">
        <v>465</v>
      </c>
      <c r="E31" s="351">
        <f>F31+O31</f>
        <v>3111</v>
      </c>
      <c r="F31" s="382">
        <f>G31+J31+K31+L31+M31+N31</f>
        <v>3111</v>
      </c>
      <c r="G31" s="382">
        <f>H31+I31</f>
        <v>0</v>
      </c>
      <c r="H31" s="382">
        <v>0</v>
      </c>
      <c r="I31" s="382"/>
      <c r="J31" s="382"/>
      <c r="K31" s="382">
        <v>3111</v>
      </c>
      <c r="L31" s="382"/>
      <c r="M31" s="382"/>
      <c r="N31" s="383"/>
      <c r="O31" s="383"/>
      <c r="P31" s="383"/>
      <c r="Q31" s="383"/>
      <c r="R31" s="382"/>
    </row>
    <row r="32" spans="1:18" s="380" customFormat="1" ht="18" customHeight="1">
      <c r="A32" s="381"/>
      <c r="B32" s="381"/>
      <c r="C32" s="373">
        <v>4010</v>
      </c>
      <c r="D32" s="353" t="s">
        <v>328</v>
      </c>
      <c r="E32" s="351">
        <f>F32+O32</f>
        <v>36880</v>
      </c>
      <c r="F32" s="382">
        <f>G32+J32+K32+L32+M32+N32</f>
        <v>36880</v>
      </c>
      <c r="G32" s="382">
        <f>H32+I32</f>
        <v>36880</v>
      </c>
      <c r="H32" s="382">
        <f>(27116+3536+1788+240+4200)</f>
        <v>36880</v>
      </c>
      <c r="I32" s="382"/>
      <c r="J32" s="382"/>
      <c r="K32" s="382"/>
      <c r="L32" s="382"/>
      <c r="M32" s="382"/>
      <c r="N32" s="383"/>
      <c r="O32" s="383"/>
      <c r="P32" s="383"/>
      <c r="Q32" s="383"/>
      <c r="R32" s="382"/>
    </row>
    <row r="33" spans="1:18" s="380" customFormat="1" ht="18" customHeight="1">
      <c r="A33" s="381"/>
      <c r="B33" s="381"/>
      <c r="C33" s="373">
        <v>4040</v>
      </c>
      <c r="D33" s="353" t="s">
        <v>473</v>
      </c>
      <c r="E33" s="351">
        <f>F33+O33</f>
        <v>2645</v>
      </c>
      <c r="F33" s="382">
        <f>G33+J33+K33+L33+M33+N33</f>
        <v>2645</v>
      </c>
      <c r="G33" s="382">
        <f>H33+I33</f>
        <v>2645</v>
      </c>
      <c r="H33" s="382">
        <v>2645</v>
      </c>
      <c r="I33" s="382"/>
      <c r="J33" s="382"/>
      <c r="K33" s="382"/>
      <c r="L33" s="382"/>
      <c r="M33" s="382"/>
      <c r="N33" s="383"/>
      <c r="O33" s="383"/>
      <c r="P33" s="383"/>
      <c r="Q33" s="383"/>
      <c r="R33" s="382"/>
    </row>
    <row r="34" spans="1:18" s="380" customFormat="1" ht="18" customHeight="1">
      <c r="A34" s="381"/>
      <c r="B34" s="381"/>
      <c r="C34" s="373">
        <v>4110</v>
      </c>
      <c r="D34" s="353" t="s">
        <v>347</v>
      </c>
      <c r="E34" s="351">
        <f>F34+O34</f>
        <v>6351</v>
      </c>
      <c r="F34" s="382">
        <f>G34+J34+K34+L34+M34+N34</f>
        <v>6351</v>
      </c>
      <c r="G34" s="382">
        <f>H34+I34</f>
        <v>6351</v>
      </c>
      <c r="H34" s="382">
        <v>6351</v>
      </c>
      <c r="I34" s="382"/>
      <c r="J34" s="382"/>
      <c r="K34" s="382"/>
      <c r="L34" s="382"/>
      <c r="M34" s="382"/>
      <c r="N34" s="383"/>
      <c r="O34" s="383"/>
      <c r="P34" s="383"/>
      <c r="Q34" s="383"/>
      <c r="R34" s="382"/>
    </row>
    <row r="35" spans="1:18" s="380" customFormat="1" ht="18" customHeight="1">
      <c r="A35" s="381"/>
      <c r="B35" s="381"/>
      <c r="C35" s="373">
        <v>4120</v>
      </c>
      <c r="D35" s="353" t="s">
        <v>348</v>
      </c>
      <c r="E35" s="351">
        <f>F35+O35</f>
        <v>1025</v>
      </c>
      <c r="F35" s="382">
        <f>G35+J35+K35+L35+M35+N35</f>
        <v>1025</v>
      </c>
      <c r="G35" s="382">
        <f>H35+I35</f>
        <v>1025</v>
      </c>
      <c r="H35" s="382">
        <v>1025</v>
      </c>
      <c r="I35" s="382"/>
      <c r="J35" s="382"/>
      <c r="K35" s="382"/>
      <c r="L35" s="382"/>
      <c r="M35" s="382"/>
      <c r="N35" s="383"/>
      <c r="O35" s="383"/>
      <c r="P35" s="383"/>
      <c r="Q35" s="383"/>
      <c r="R35" s="382"/>
    </row>
    <row r="36" spans="1:18" s="380" customFormat="1" ht="18" customHeight="1">
      <c r="A36" s="381"/>
      <c r="B36" s="381"/>
      <c r="C36" s="373">
        <v>4210</v>
      </c>
      <c r="D36" s="353" t="s">
        <v>339</v>
      </c>
      <c r="E36" s="351">
        <f>F36+O36</f>
        <v>2050</v>
      </c>
      <c r="F36" s="382">
        <f>G36+J36+K36+L36+M36+N36</f>
        <v>2050</v>
      </c>
      <c r="G36" s="382">
        <f>H36+I36</f>
        <v>2050</v>
      </c>
      <c r="H36" s="382"/>
      <c r="I36" s="382">
        <v>2050</v>
      </c>
      <c r="J36" s="382"/>
      <c r="K36" s="382"/>
      <c r="L36" s="382"/>
      <c r="M36" s="382"/>
      <c r="N36" s="383"/>
      <c r="O36" s="383"/>
      <c r="P36" s="383"/>
      <c r="Q36" s="383"/>
      <c r="R36" s="382"/>
    </row>
    <row r="37" spans="1:18" s="380" customFormat="1" ht="18" customHeight="1">
      <c r="A37" s="381"/>
      <c r="B37" s="381"/>
      <c r="C37" s="373">
        <v>4240</v>
      </c>
      <c r="D37" s="353" t="s">
        <v>340</v>
      </c>
      <c r="E37" s="351">
        <f>F37+O37</f>
        <v>1150</v>
      </c>
      <c r="F37" s="382">
        <f>G37+J37+K37+L37+M37+N37</f>
        <v>1150</v>
      </c>
      <c r="G37" s="382">
        <f>H37+I37</f>
        <v>1150</v>
      </c>
      <c r="H37" s="382"/>
      <c r="I37" s="382">
        <v>1150</v>
      </c>
      <c r="J37" s="382"/>
      <c r="K37" s="382"/>
      <c r="L37" s="382"/>
      <c r="M37" s="382"/>
      <c r="N37" s="383"/>
      <c r="O37" s="383"/>
      <c r="P37" s="383"/>
      <c r="Q37" s="383"/>
      <c r="R37" s="382"/>
    </row>
    <row r="38" spans="1:18" s="380" customFormat="1" ht="18" customHeight="1">
      <c r="A38" s="381"/>
      <c r="B38" s="381"/>
      <c r="C38" s="373">
        <v>4280</v>
      </c>
      <c r="D38" s="353" t="s">
        <v>341</v>
      </c>
      <c r="E38" s="351">
        <f>F38+O38</f>
        <v>100</v>
      </c>
      <c r="F38" s="382">
        <f>G38+J38+K38+L38+M38+N38</f>
        <v>100</v>
      </c>
      <c r="G38" s="382">
        <f>H38+I38</f>
        <v>100</v>
      </c>
      <c r="H38" s="382"/>
      <c r="I38" s="382">
        <v>100</v>
      </c>
      <c r="J38" s="382"/>
      <c r="K38" s="382"/>
      <c r="L38" s="382"/>
      <c r="M38" s="382"/>
      <c r="N38" s="383"/>
      <c r="O38" s="383"/>
      <c r="P38" s="383"/>
      <c r="Q38" s="383"/>
      <c r="R38" s="382"/>
    </row>
    <row r="39" spans="1:18" s="380" customFormat="1" ht="18" customHeight="1">
      <c r="A39" s="381"/>
      <c r="B39" s="381"/>
      <c r="C39" s="373">
        <v>4440</v>
      </c>
      <c r="D39" s="353" t="s">
        <v>342</v>
      </c>
      <c r="E39" s="351">
        <f>F39+O39</f>
        <v>2656</v>
      </c>
      <c r="F39" s="382">
        <f>G39+J39+K39+L39+M39+N39</f>
        <v>2656</v>
      </c>
      <c r="G39" s="382">
        <f>H39+I39</f>
        <v>2656</v>
      </c>
      <c r="H39" s="382"/>
      <c r="I39" s="382">
        <v>2656</v>
      </c>
      <c r="J39" s="382"/>
      <c r="K39" s="382"/>
      <c r="L39" s="382"/>
      <c r="M39" s="382"/>
      <c r="N39" s="383"/>
      <c r="O39" s="383"/>
      <c r="P39" s="383"/>
      <c r="Q39" s="383"/>
      <c r="R39" s="382"/>
    </row>
    <row r="40" spans="1:18" s="380" customFormat="1" ht="18" customHeight="1">
      <c r="A40" s="346"/>
      <c r="B40" s="345">
        <v>80146</v>
      </c>
      <c r="C40" s="352"/>
      <c r="D40" s="346" t="s">
        <v>362</v>
      </c>
      <c r="E40" s="347">
        <f>SUM(E41:E45)</f>
        <v>2196</v>
      </c>
      <c r="F40" s="347">
        <f>SUM(F41:F45)</f>
        <v>2196</v>
      </c>
      <c r="G40" s="347">
        <f>SUM(G41:G45)</f>
        <v>2196</v>
      </c>
      <c r="H40" s="347">
        <f>SUM(H41:H45)</f>
        <v>0</v>
      </c>
      <c r="I40" s="347">
        <f>SUM(I41:I45)</f>
        <v>2196</v>
      </c>
      <c r="J40" s="347">
        <f>SUM(J42:J45)</f>
        <v>0</v>
      </c>
      <c r="K40" s="347">
        <f>SUM(K42:K45)</f>
        <v>0</v>
      </c>
      <c r="L40" s="347">
        <f>SUM(L42:L45)</f>
        <v>0</v>
      </c>
      <c r="M40" s="347">
        <f>SUM(M42:M45)</f>
        <v>0</v>
      </c>
      <c r="N40" s="347">
        <f>SUM(N42:N45)</f>
        <v>0</v>
      </c>
      <c r="O40" s="347">
        <f>SUM(O42:O45)</f>
        <v>0</v>
      </c>
      <c r="P40" s="347">
        <f>SUM(P42:P45)</f>
        <v>0</v>
      </c>
      <c r="Q40" s="347">
        <f>SUM(Q42:Q45)</f>
        <v>0</v>
      </c>
      <c r="R40" s="347">
        <f>SUM(R42:R45)</f>
        <v>0</v>
      </c>
    </row>
    <row r="41" spans="1:18" s="380" customFormat="1" ht="18" customHeight="1">
      <c r="A41" s="346"/>
      <c r="B41" s="345"/>
      <c r="C41" s="349">
        <v>4210</v>
      </c>
      <c r="D41" s="350" t="s">
        <v>339</v>
      </c>
      <c r="E41" s="351">
        <f>F41+O41</f>
        <v>0</v>
      </c>
      <c r="F41" s="351">
        <f>G41+J41+K41+L41+M41+N41</f>
        <v>0</v>
      </c>
      <c r="G41" s="351">
        <f>H41+I41</f>
        <v>0</v>
      </c>
      <c r="H41" s="351"/>
      <c r="I41" s="351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s="380" customFormat="1" ht="18" customHeight="1">
      <c r="A42" s="381"/>
      <c r="B42" s="381"/>
      <c r="C42" s="373">
        <v>4240</v>
      </c>
      <c r="D42" s="353" t="s">
        <v>340</v>
      </c>
      <c r="E42" s="351">
        <f>F42+O42</f>
        <v>0</v>
      </c>
      <c r="F42" s="382">
        <f>G42+J42+K42+L42+M42+N42</f>
        <v>0</v>
      </c>
      <c r="G42" s="382">
        <f>H42+I42</f>
        <v>0</v>
      </c>
      <c r="H42" s="382"/>
      <c r="I42" s="382"/>
      <c r="J42" s="382"/>
      <c r="K42" s="382"/>
      <c r="L42" s="382"/>
      <c r="M42" s="382"/>
      <c r="N42" s="382"/>
      <c r="O42" s="383"/>
      <c r="P42" s="382"/>
      <c r="Q42" s="382"/>
      <c r="R42" s="382"/>
    </row>
    <row r="43" spans="1:18" s="380" customFormat="1" ht="18" customHeight="1">
      <c r="A43" s="381"/>
      <c r="B43" s="381"/>
      <c r="C43" s="373">
        <v>4300</v>
      </c>
      <c r="D43" s="353" t="s">
        <v>350</v>
      </c>
      <c r="E43" s="351">
        <f>F43+O43</f>
        <v>1000</v>
      </c>
      <c r="F43" s="382">
        <f>G43+J43+K43+L43+M43+N43</f>
        <v>1000</v>
      </c>
      <c r="G43" s="382">
        <f>H43+I43</f>
        <v>1000</v>
      </c>
      <c r="H43" s="382"/>
      <c r="I43" s="382">
        <v>1000</v>
      </c>
      <c r="J43" s="382"/>
      <c r="K43" s="382"/>
      <c r="L43" s="382"/>
      <c r="M43" s="382"/>
      <c r="N43" s="382"/>
      <c r="O43" s="383"/>
      <c r="P43" s="382"/>
      <c r="Q43" s="382"/>
      <c r="R43" s="382"/>
    </row>
    <row r="44" spans="1:18" s="380" customFormat="1" ht="18" customHeight="1">
      <c r="A44" s="381"/>
      <c r="B44" s="381"/>
      <c r="C44" s="373">
        <v>4410</v>
      </c>
      <c r="D44" s="353" t="s">
        <v>353</v>
      </c>
      <c r="E44" s="351">
        <f>F44+O44</f>
        <v>696</v>
      </c>
      <c r="F44" s="382">
        <f>G44+J44+K44+L44+M44+N44</f>
        <v>696</v>
      </c>
      <c r="G44" s="382">
        <f>H44+I44</f>
        <v>696</v>
      </c>
      <c r="H44" s="382"/>
      <c r="I44" s="382">
        <v>696</v>
      </c>
      <c r="J44" s="382"/>
      <c r="K44" s="382"/>
      <c r="L44" s="382"/>
      <c r="M44" s="382"/>
      <c r="N44" s="382"/>
      <c r="O44" s="383"/>
      <c r="P44" s="382"/>
      <c r="Q44" s="382"/>
      <c r="R44" s="382"/>
    </row>
    <row r="45" spans="1:18" s="380" customFormat="1" ht="27" customHeight="1">
      <c r="A45" s="381"/>
      <c r="B45" s="381"/>
      <c r="C45" s="373">
        <v>4700</v>
      </c>
      <c r="D45" s="353" t="s">
        <v>355</v>
      </c>
      <c r="E45" s="351">
        <f>F45+O45</f>
        <v>500</v>
      </c>
      <c r="F45" s="382">
        <f>G45+J45+K45+L45+M45+N45</f>
        <v>500</v>
      </c>
      <c r="G45" s="382">
        <f>H45+I45</f>
        <v>500</v>
      </c>
      <c r="H45" s="382"/>
      <c r="I45" s="382">
        <v>500</v>
      </c>
      <c r="J45" s="382"/>
      <c r="K45" s="382"/>
      <c r="L45" s="382"/>
      <c r="M45" s="382"/>
      <c r="N45" s="382"/>
      <c r="O45" s="383"/>
      <c r="P45" s="382"/>
      <c r="Q45" s="382"/>
      <c r="R45" s="382"/>
    </row>
    <row r="46" spans="1:18" s="380" customFormat="1" ht="18" customHeight="1">
      <c r="A46" s="346"/>
      <c r="B46" s="355">
        <v>80148</v>
      </c>
      <c r="C46" s="356"/>
      <c r="D46" s="357" t="s">
        <v>468</v>
      </c>
      <c r="E46" s="358">
        <f>SUM(E47:E59)</f>
        <v>74517</v>
      </c>
      <c r="F46" s="358">
        <f>SUM(F47:F59)</f>
        <v>74517</v>
      </c>
      <c r="G46" s="358">
        <f>SUM(G47:G59)</f>
        <v>74517</v>
      </c>
      <c r="H46" s="358">
        <f>SUM(H47:H59)</f>
        <v>23533</v>
      </c>
      <c r="I46" s="358">
        <f>SUM(I47:I59)</f>
        <v>50984</v>
      </c>
      <c r="J46" s="358">
        <f>SUM(J47:J59)</f>
        <v>0</v>
      </c>
      <c r="K46" s="358">
        <f>SUM(K47:K59)</f>
        <v>0</v>
      </c>
      <c r="L46" s="358">
        <f>SUM(L47:L59)</f>
        <v>0</v>
      </c>
      <c r="M46" s="358">
        <f>SUM(M47:M59)</f>
        <v>0</v>
      </c>
      <c r="N46" s="358">
        <f>SUM(N47:N59)</f>
        <v>0</v>
      </c>
      <c r="O46" s="358">
        <f>SUM(O47:O59)</f>
        <v>0</v>
      </c>
      <c r="P46" s="358">
        <f>SUM(P47:P59)</f>
        <v>0</v>
      </c>
      <c r="Q46" s="358">
        <f>SUM(Q47:Q59)</f>
        <v>0</v>
      </c>
      <c r="R46" s="358">
        <f>SUM(R47:R59)</f>
        <v>0</v>
      </c>
    </row>
    <row r="47" spans="1:18" s="380" customFormat="1" ht="18" customHeight="1">
      <c r="A47" s="381"/>
      <c r="B47" s="381"/>
      <c r="C47" s="373">
        <v>3020</v>
      </c>
      <c r="D47" s="353" t="s">
        <v>465</v>
      </c>
      <c r="E47" s="351">
        <f>F47+O47</f>
        <v>0</v>
      </c>
      <c r="F47" s="351">
        <v>0</v>
      </c>
      <c r="G47" s="382">
        <v>0</v>
      </c>
      <c r="H47" s="382">
        <v>0</v>
      </c>
      <c r="I47" s="382">
        <v>0</v>
      </c>
      <c r="J47" s="382"/>
      <c r="K47" s="382"/>
      <c r="L47" s="382"/>
      <c r="M47" s="382"/>
      <c r="N47" s="383"/>
      <c r="O47" s="383"/>
      <c r="P47" s="383"/>
      <c r="Q47" s="383"/>
      <c r="R47" s="383"/>
    </row>
    <row r="48" spans="1:18" s="380" customFormat="1" ht="18" customHeight="1">
      <c r="A48" s="381"/>
      <c r="B48" s="381"/>
      <c r="C48" s="373">
        <v>4010</v>
      </c>
      <c r="D48" s="353" t="s">
        <v>328</v>
      </c>
      <c r="E48" s="351">
        <f>F48+O48</f>
        <v>18448</v>
      </c>
      <c r="F48" s="382">
        <f>G48+J48+K48+L48+M48+N48</f>
        <v>18448</v>
      </c>
      <c r="G48" s="382">
        <f>H48+I48</f>
        <v>18448</v>
      </c>
      <c r="H48" s="382">
        <v>18448</v>
      </c>
      <c r="I48" s="382">
        <v>0</v>
      </c>
      <c r="J48" s="382"/>
      <c r="K48" s="382"/>
      <c r="L48" s="382"/>
      <c r="M48" s="382"/>
      <c r="N48" s="383"/>
      <c r="O48" s="383"/>
      <c r="P48" s="383"/>
      <c r="Q48" s="383"/>
      <c r="R48" s="383"/>
    </row>
    <row r="49" spans="1:18" s="380" customFormat="1" ht="18" customHeight="1">
      <c r="A49" s="381"/>
      <c r="B49" s="381"/>
      <c r="C49" s="373">
        <v>4040</v>
      </c>
      <c r="D49" s="353" t="s">
        <v>473</v>
      </c>
      <c r="E49" s="351">
        <f>F49+O49</f>
        <v>1555</v>
      </c>
      <c r="F49" s="382">
        <f>G49+J49+K49+L49+M49+N49</f>
        <v>1555</v>
      </c>
      <c r="G49" s="382">
        <f>H49+I49</f>
        <v>1555</v>
      </c>
      <c r="H49" s="382">
        <v>1555</v>
      </c>
      <c r="I49" s="382">
        <v>0</v>
      </c>
      <c r="J49" s="382"/>
      <c r="K49" s="382"/>
      <c r="L49" s="382"/>
      <c r="M49" s="382"/>
      <c r="N49" s="383"/>
      <c r="O49" s="383"/>
      <c r="P49" s="383"/>
      <c r="Q49" s="383"/>
      <c r="R49" s="383"/>
    </row>
    <row r="50" spans="1:18" s="380" customFormat="1" ht="18" customHeight="1">
      <c r="A50" s="381"/>
      <c r="B50" s="381"/>
      <c r="C50" s="373">
        <v>4110</v>
      </c>
      <c r="D50" s="353" t="s">
        <v>347</v>
      </c>
      <c r="E50" s="351">
        <f>F50+O50</f>
        <v>3039</v>
      </c>
      <c r="F50" s="382">
        <f>G50+J50+K50+L50+M50+N50</f>
        <v>3039</v>
      </c>
      <c r="G50" s="382">
        <f>H50+I50</f>
        <v>3039</v>
      </c>
      <c r="H50" s="382">
        <v>3039</v>
      </c>
      <c r="I50" s="382">
        <v>0</v>
      </c>
      <c r="J50" s="382"/>
      <c r="K50" s="382"/>
      <c r="L50" s="382"/>
      <c r="M50" s="382"/>
      <c r="N50" s="383"/>
      <c r="O50" s="383"/>
      <c r="P50" s="383"/>
      <c r="Q50" s="383"/>
      <c r="R50" s="383"/>
    </row>
    <row r="51" spans="1:18" s="380" customFormat="1" ht="18" customHeight="1">
      <c r="A51" s="381"/>
      <c r="B51" s="381"/>
      <c r="C51" s="373">
        <v>4120</v>
      </c>
      <c r="D51" s="353" t="s">
        <v>348</v>
      </c>
      <c r="E51" s="351">
        <f>F51+O51</f>
        <v>491</v>
      </c>
      <c r="F51" s="382">
        <f>G51+J51+K51+L51+M51+N51</f>
        <v>491</v>
      </c>
      <c r="G51" s="382">
        <f>H51+I51</f>
        <v>491</v>
      </c>
      <c r="H51" s="382">
        <v>491</v>
      </c>
      <c r="I51" s="382">
        <v>0</v>
      </c>
      <c r="J51" s="382"/>
      <c r="K51" s="382"/>
      <c r="L51" s="382"/>
      <c r="M51" s="382"/>
      <c r="N51" s="383"/>
      <c r="O51" s="383"/>
      <c r="P51" s="383"/>
      <c r="Q51" s="383"/>
      <c r="R51" s="383"/>
    </row>
    <row r="52" spans="1:18" s="380" customFormat="1" ht="18" customHeight="1">
      <c r="A52" s="381"/>
      <c r="B52" s="381"/>
      <c r="C52" s="373">
        <v>4210</v>
      </c>
      <c r="D52" s="353" t="s">
        <v>339</v>
      </c>
      <c r="E52" s="351">
        <f>F52+O52</f>
        <v>4900</v>
      </c>
      <c r="F52" s="382">
        <f>G52+J52+K52+L52+M52+N52</f>
        <v>4900</v>
      </c>
      <c r="G52" s="382">
        <f>H52+I52</f>
        <v>4900</v>
      </c>
      <c r="H52" s="382">
        <v>0</v>
      </c>
      <c r="I52" s="382">
        <v>4900</v>
      </c>
      <c r="J52" s="382"/>
      <c r="K52" s="382"/>
      <c r="L52" s="382"/>
      <c r="M52" s="382"/>
      <c r="N52" s="383"/>
      <c r="O52" s="383"/>
      <c r="P52" s="383"/>
      <c r="Q52" s="383"/>
      <c r="R52" s="383"/>
    </row>
    <row r="53" spans="1:18" s="380" customFormat="1" ht="18" customHeight="1">
      <c r="A53" s="381"/>
      <c r="B53" s="381"/>
      <c r="C53" s="373">
        <v>4220</v>
      </c>
      <c r="D53" s="353" t="s">
        <v>469</v>
      </c>
      <c r="E53" s="351">
        <f>F53+O53</f>
        <v>42240</v>
      </c>
      <c r="F53" s="382">
        <f>G53+J53+K53+L53+M53+N53</f>
        <v>42240</v>
      </c>
      <c r="G53" s="382">
        <f>H53+I53</f>
        <v>42240</v>
      </c>
      <c r="H53" s="382">
        <v>0</v>
      </c>
      <c r="I53" s="382">
        <v>42240</v>
      </c>
      <c r="J53" s="382"/>
      <c r="K53" s="382"/>
      <c r="L53" s="382"/>
      <c r="M53" s="382"/>
      <c r="N53" s="383"/>
      <c r="O53" s="383"/>
      <c r="P53" s="383"/>
      <c r="Q53" s="383"/>
      <c r="R53" s="383"/>
    </row>
    <row r="54" spans="1:18" s="380" customFormat="1" ht="18" customHeight="1">
      <c r="A54" s="381"/>
      <c r="B54" s="381"/>
      <c r="C54" s="373">
        <v>4270</v>
      </c>
      <c r="D54" s="353" t="s">
        <v>294</v>
      </c>
      <c r="E54" s="351">
        <f>F54+O54</f>
        <v>3000</v>
      </c>
      <c r="F54" s="382">
        <f>G54+J54+K54+L54+M54+N54</f>
        <v>3000</v>
      </c>
      <c r="G54" s="382">
        <f>H54+I54</f>
        <v>3000</v>
      </c>
      <c r="H54" s="382">
        <v>0</v>
      </c>
      <c r="I54" s="382">
        <v>3000</v>
      </c>
      <c r="J54" s="382"/>
      <c r="K54" s="382"/>
      <c r="L54" s="382"/>
      <c r="M54" s="382"/>
      <c r="N54" s="383"/>
      <c r="O54" s="383"/>
      <c r="P54" s="383"/>
      <c r="Q54" s="383"/>
      <c r="R54" s="383"/>
    </row>
    <row r="55" spans="1:18" s="380" customFormat="1" ht="18" customHeight="1">
      <c r="A55" s="381"/>
      <c r="B55" s="381"/>
      <c r="C55" s="373">
        <v>4280</v>
      </c>
      <c r="D55" s="353" t="s">
        <v>341</v>
      </c>
      <c r="E55" s="351">
        <f>F55+O55</f>
        <v>50</v>
      </c>
      <c r="F55" s="382">
        <f>G55+J55+K55+L55+M55+N55</f>
        <v>50</v>
      </c>
      <c r="G55" s="382">
        <f>H55+I55</f>
        <v>50</v>
      </c>
      <c r="H55" s="382">
        <v>0</v>
      </c>
      <c r="I55" s="382">
        <v>50</v>
      </c>
      <c r="J55" s="382"/>
      <c r="K55" s="382"/>
      <c r="L55" s="382"/>
      <c r="M55" s="382"/>
      <c r="N55" s="383"/>
      <c r="O55" s="383"/>
      <c r="P55" s="383"/>
      <c r="Q55" s="383"/>
      <c r="R55" s="383"/>
    </row>
    <row r="56" spans="1:18" s="380" customFormat="1" ht="18" customHeight="1">
      <c r="A56" s="381"/>
      <c r="B56" s="381"/>
      <c r="C56" s="373">
        <v>4300</v>
      </c>
      <c r="D56" s="353" t="s">
        <v>350</v>
      </c>
      <c r="E56" s="351">
        <f>F56+O56</f>
        <v>0</v>
      </c>
      <c r="F56" s="382"/>
      <c r="G56" s="382"/>
      <c r="H56" s="382"/>
      <c r="I56" s="382"/>
      <c r="J56" s="382"/>
      <c r="K56" s="382"/>
      <c r="L56" s="382"/>
      <c r="M56" s="382"/>
      <c r="N56" s="383"/>
      <c r="O56" s="383"/>
      <c r="P56" s="383"/>
      <c r="Q56" s="383"/>
      <c r="R56" s="383"/>
    </row>
    <row r="57" spans="1:18" s="380" customFormat="1" ht="18" customHeight="1">
      <c r="A57" s="381"/>
      <c r="B57" s="381"/>
      <c r="C57" s="373">
        <v>4410</v>
      </c>
      <c r="D57" s="353" t="s">
        <v>353</v>
      </c>
      <c r="E57" s="351">
        <f>F57+O57</f>
        <v>0</v>
      </c>
      <c r="F57" s="382">
        <f>G57+J57+K57+L57+M57+N57</f>
        <v>0</v>
      </c>
      <c r="G57" s="382">
        <f>H57+I57</f>
        <v>0</v>
      </c>
      <c r="H57" s="382"/>
      <c r="I57" s="382"/>
      <c r="J57" s="382"/>
      <c r="K57" s="382"/>
      <c r="L57" s="382"/>
      <c r="M57" s="382"/>
      <c r="N57" s="383"/>
      <c r="O57" s="383"/>
      <c r="P57" s="383"/>
      <c r="Q57" s="383"/>
      <c r="R57" s="383"/>
    </row>
    <row r="58" spans="1:18" s="380" customFormat="1" ht="18" customHeight="1">
      <c r="A58" s="381"/>
      <c r="B58" s="381"/>
      <c r="C58" s="373">
        <v>4440</v>
      </c>
      <c r="D58" s="353" t="s">
        <v>342</v>
      </c>
      <c r="E58" s="351">
        <f>F58+O58</f>
        <v>794</v>
      </c>
      <c r="F58" s="382">
        <f>G58+J58+K58+L58+M58+N58</f>
        <v>794</v>
      </c>
      <c r="G58" s="382">
        <f>H58+I58</f>
        <v>794</v>
      </c>
      <c r="H58" s="382">
        <v>0</v>
      </c>
      <c r="I58" s="382">
        <v>794</v>
      </c>
      <c r="J58" s="382"/>
      <c r="K58" s="382"/>
      <c r="L58" s="382"/>
      <c r="M58" s="382"/>
      <c r="N58" s="383"/>
      <c r="O58" s="383"/>
      <c r="P58" s="383"/>
      <c r="Q58" s="383"/>
      <c r="R58" s="383"/>
    </row>
    <row r="59" spans="1:18" s="380" customFormat="1" ht="27" customHeight="1">
      <c r="A59" s="381"/>
      <c r="B59" s="381"/>
      <c r="C59" s="373">
        <v>4700</v>
      </c>
      <c r="D59" s="353" t="s">
        <v>355</v>
      </c>
      <c r="E59" s="351">
        <f>F59+O59</f>
        <v>0</v>
      </c>
      <c r="F59" s="382">
        <f>G59+J59+K59+L59+M59+N59</f>
        <v>0</v>
      </c>
      <c r="G59" s="382">
        <f>H59+I59</f>
        <v>0</v>
      </c>
      <c r="H59" s="382"/>
      <c r="I59" s="382">
        <v>0</v>
      </c>
      <c r="J59" s="382"/>
      <c r="K59" s="382"/>
      <c r="L59" s="382"/>
      <c r="M59" s="382"/>
      <c r="N59" s="383"/>
      <c r="O59" s="383"/>
      <c r="P59" s="383"/>
      <c r="Q59" s="383"/>
      <c r="R59" s="383"/>
    </row>
    <row r="60" spans="1:18" s="377" customFormat="1" ht="16.5" customHeight="1">
      <c r="A60" s="345"/>
      <c r="B60" s="345">
        <v>80195</v>
      </c>
      <c r="C60" s="352"/>
      <c r="D60" s="346" t="s">
        <v>95</v>
      </c>
      <c r="E60" s="347">
        <f>SUM(E61:E61)</f>
        <v>11607</v>
      </c>
      <c r="F60" s="347">
        <f>SUM(F61:F61)</f>
        <v>11607</v>
      </c>
      <c r="G60" s="347">
        <f>SUM(G61:G61)</f>
        <v>11607</v>
      </c>
      <c r="H60" s="347">
        <f>SUM(H61:H61)</f>
        <v>0</v>
      </c>
      <c r="I60" s="347">
        <f>SUM(I61:I61)</f>
        <v>11607</v>
      </c>
      <c r="J60" s="347">
        <f>SUM(J61:J61)</f>
        <v>0</v>
      </c>
      <c r="K60" s="347">
        <f>SUM(K61:K61)</f>
        <v>0</v>
      </c>
      <c r="L60" s="347">
        <f>SUM(L61:L61)</f>
        <v>0</v>
      </c>
      <c r="M60" s="347">
        <f>SUM(M61:M61)</f>
        <v>0</v>
      </c>
      <c r="N60" s="347">
        <f>SUM(N61:N61)</f>
        <v>0</v>
      </c>
      <c r="O60" s="347">
        <f>SUM(O61:O61)</f>
        <v>0</v>
      </c>
      <c r="P60" s="347">
        <f>SUM(P61:P61)</f>
        <v>0</v>
      </c>
      <c r="Q60" s="347">
        <f>SUM(Q61:Q61)</f>
        <v>0</v>
      </c>
      <c r="R60" s="388">
        <v>0</v>
      </c>
    </row>
    <row r="61" spans="1:18" s="377" customFormat="1" ht="16.5" customHeight="1">
      <c r="A61" s="381"/>
      <c r="B61" s="381"/>
      <c r="C61" s="373">
        <v>4440</v>
      </c>
      <c r="D61" s="353" t="s">
        <v>342</v>
      </c>
      <c r="E61" s="351">
        <f>F61+O61</f>
        <v>11607</v>
      </c>
      <c r="F61" s="382">
        <f>G61+J61+K61+L61+M61+N61</f>
        <v>11607</v>
      </c>
      <c r="G61" s="382">
        <f>H61+I61</f>
        <v>11607</v>
      </c>
      <c r="H61" s="383">
        <v>0</v>
      </c>
      <c r="I61" s="382">
        <v>11607</v>
      </c>
      <c r="J61" s="383"/>
      <c r="K61" s="383"/>
      <c r="L61" s="383"/>
      <c r="M61" s="383"/>
      <c r="N61" s="383"/>
      <c r="O61" s="383"/>
      <c r="P61" s="383"/>
      <c r="Q61" s="383"/>
      <c r="R61" s="383"/>
    </row>
    <row r="62" s="377" customFormat="1" ht="13.5"/>
    <row r="63" s="377" customFormat="1" ht="13.5"/>
    <row r="64" s="377" customFormat="1" ht="13.5"/>
    <row r="65" s="377" customFormat="1" ht="13.5"/>
    <row r="66" s="377" customFormat="1" ht="13.5"/>
    <row r="67" s="377" customFormat="1" ht="13.5"/>
    <row r="68" s="377" customFormat="1" ht="13.5"/>
    <row r="69" s="377" customFormat="1" ht="13.5"/>
    <row r="70" s="377" customFormat="1" ht="13.5"/>
    <row r="71" s="377" customFormat="1" ht="13.5"/>
    <row r="72" s="377" customFormat="1" ht="13.5"/>
    <row r="73" s="377" customFormat="1" ht="13.5"/>
    <row r="74" s="377" customFormat="1" ht="13.5"/>
    <row r="75" s="377" customFormat="1" ht="13.5"/>
    <row r="76" s="377" customFormat="1" ht="13.5"/>
    <row r="77" s="377" customFormat="1" ht="13.5"/>
    <row r="78" s="377" customFormat="1" ht="13.5"/>
    <row r="79" s="377" customFormat="1" ht="13.5"/>
    <row r="80" s="377" customFormat="1" ht="13.5"/>
    <row r="81" s="377" customFormat="1" ht="13.5"/>
    <row r="82" s="377" customFormat="1" ht="13.5"/>
    <row r="83" s="377" customFormat="1" ht="13.5"/>
    <row r="84" s="377" customFormat="1" ht="13.5"/>
    <row r="85" s="377" customFormat="1" ht="13.5"/>
    <row r="86" s="377" customFormat="1" ht="13.5"/>
    <row r="87" s="377" customFormat="1" ht="13.5"/>
    <row r="88" s="377" customFormat="1" ht="13.5"/>
    <row r="89" s="377" customFormat="1" ht="13.5"/>
    <row r="90" s="377" customFormat="1" ht="13.5"/>
    <row r="91" s="377" customFormat="1" ht="13.5"/>
    <row r="92" s="377" customFormat="1" ht="13.5"/>
    <row r="93" s="377" customFormat="1" ht="13.5"/>
    <row r="94" s="377" customFormat="1" ht="13.5"/>
    <row r="95" s="377" customFormat="1" ht="13.5"/>
    <row r="96" s="377" customFormat="1" ht="13.5"/>
    <row r="97" s="377" customFormat="1" ht="13.5"/>
    <row r="98" s="377" customFormat="1" ht="13.5"/>
    <row r="99" s="377" customFormat="1" ht="13.5"/>
    <row r="100" s="377" customFormat="1" ht="13.5"/>
    <row r="101" s="377" customFormat="1" ht="13.5"/>
    <row r="102" s="377" customFormat="1" ht="13.5"/>
    <row r="103" s="377" customFormat="1" ht="13.5"/>
    <row r="104" s="377" customFormat="1" ht="13.5"/>
    <row r="105" s="377" customFormat="1" ht="13.5"/>
    <row r="106" s="377" customFormat="1" ht="13.5"/>
    <row r="107" s="377" customFormat="1" ht="13.5"/>
    <row r="108" s="377" customFormat="1" ht="13.5"/>
    <row r="109" s="377" customFormat="1" ht="13.5"/>
    <row r="110" s="377" customFormat="1" ht="13.5"/>
    <row r="111" s="377" customFormat="1" ht="13.5"/>
    <row r="112" s="377" customFormat="1" ht="13.5"/>
    <row r="113" s="377" customFormat="1" ht="13.5"/>
    <row r="114" s="377" customFormat="1" ht="13.5"/>
    <row r="115" s="377" customFormat="1" ht="13.5"/>
    <row r="116" s="377" customFormat="1" ht="13.5"/>
    <row r="117" s="377" customFormat="1" ht="13.5"/>
    <row r="118" s="377" customFormat="1" ht="13.5"/>
    <row r="119" s="377" customFormat="1" ht="13.5"/>
    <row r="120" s="377" customFormat="1" ht="13.5"/>
    <row r="121" s="377" customFormat="1" ht="13.5"/>
    <row r="122" s="377" customFormat="1" ht="13.5"/>
    <row r="123" s="377" customFormat="1" ht="13.5"/>
    <row r="124" s="377" customFormat="1" ht="13.5"/>
    <row r="125" s="377" customFormat="1" ht="13.5"/>
    <row r="126" s="377" customFormat="1" ht="13.5"/>
    <row r="127" s="377" customFormat="1" ht="13.5"/>
    <row r="128" s="377" customFormat="1" ht="13.5"/>
    <row r="129" s="377" customFormat="1" ht="13.5"/>
    <row r="130" s="377" customFormat="1" ht="13.5"/>
    <row r="131" s="377" customFormat="1" ht="13.5"/>
    <row r="132" s="377" customFormat="1" ht="13.5"/>
    <row r="133" s="377" customFormat="1" ht="13.5"/>
    <row r="134" s="377" customFormat="1" ht="13.5"/>
  </sheetData>
  <mergeCells count="20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33333333333334" bottom="0.5673611111111111" header="0.5902777777777778" footer="0.40069444444444446"/>
  <pageSetup horizontalDpi="300" verticalDpi="300" orientation="landscape" paperSize="9" scale="71"/>
  <headerFooter alignWithMargins="0">
    <oddHeader>&amp;R&amp;"Times New Roman,Normalny"&amp;12Załącznik Nr 17 do projektu uchwały Nr .. Rady Miejskiej w Barlinku z dnia ........grudnia 2010</oddHeader>
    <oddFooter>&amp;C&amp;"Times New Roman,Normalny"&amp;12Strona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175"/>
  <sheetViews>
    <sheetView showGridLines="0" defaultGridColor="0" view="pageBreakPreview" zoomScaleSheetLayoutView="100" colorId="15" workbookViewId="0" topLeftCell="A1">
      <pane ySplit="6" topLeftCell="A39" activePane="bottomLeft" state="frozen"/>
      <selection pane="topLeft" activeCell="A1" sqref="A1"/>
      <selection pane="bottomLeft" activeCell="R47" sqref="R47"/>
    </sheetView>
  </sheetViews>
  <sheetFormatPr defaultColWidth="9.00390625" defaultRowHeight="18" customHeight="1"/>
  <cols>
    <col min="1" max="1" width="5.00390625" style="334" customWidth="1"/>
    <col min="2" max="2" width="7.375" style="334" customWidth="1"/>
    <col min="3" max="3" width="6.125" style="335" customWidth="1"/>
    <col min="4" max="4" width="44.875" style="336" customWidth="1"/>
    <col min="5" max="5" width="10.875" style="335" customWidth="1"/>
    <col min="6" max="6" width="11.25390625" style="335" customWidth="1"/>
    <col min="7" max="7" width="10.25390625" style="335" customWidth="1"/>
    <col min="8" max="8" width="11.625" style="335" customWidth="1"/>
    <col min="9" max="9" width="9.50390625" style="335" customWidth="1"/>
    <col min="10" max="10" width="7.375" style="335" customWidth="1"/>
    <col min="11" max="13" width="7.75390625" style="335" customWidth="1"/>
    <col min="14" max="14" width="6.625" style="335" customWidth="1"/>
    <col min="15" max="15" width="8.125" style="335" customWidth="1"/>
    <col min="16" max="16" width="8.625" style="335" customWidth="1"/>
    <col min="17" max="17" width="9.25390625" style="335" customWidth="1"/>
    <col min="18" max="18" width="7.875" style="335" customWidth="1"/>
    <col min="19" max="40" width="9.00390625" style="335" customWidth="1"/>
  </cols>
  <sheetData>
    <row r="1" spans="1:40" ht="31.5" customHeight="1">
      <c r="A1" s="338" t="s">
        <v>475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</row>
    <row r="2" spans="1:40" ht="13.5" customHeight="1">
      <c r="A2" s="339" t="s">
        <v>66</v>
      </c>
      <c r="B2" s="339" t="s">
        <v>86</v>
      </c>
      <c r="C2" s="339" t="s">
        <v>87</v>
      </c>
      <c r="D2" s="339" t="s">
        <v>251</v>
      </c>
      <c r="E2" s="339" t="s">
        <v>252</v>
      </c>
      <c r="F2" s="340" t="s">
        <v>253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</row>
    <row r="3" spans="1:40" ht="13.5" customHeight="1">
      <c r="A3" s="339"/>
      <c r="B3" s="339"/>
      <c r="C3" s="339"/>
      <c r="D3" s="339"/>
      <c r="E3" s="339"/>
      <c r="F3" s="256" t="s">
        <v>242</v>
      </c>
      <c r="G3" s="255" t="s">
        <v>90</v>
      </c>
      <c r="H3" s="255"/>
      <c r="I3" s="255"/>
      <c r="J3" s="255"/>
      <c r="K3" s="255"/>
      <c r="L3" s="255"/>
      <c r="M3" s="255"/>
      <c r="N3" s="255"/>
      <c r="O3" s="254" t="s">
        <v>254</v>
      </c>
      <c r="P3" s="255" t="s">
        <v>90</v>
      </c>
      <c r="Q3" s="255"/>
      <c r="R3" s="255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</row>
    <row r="4" spans="1:40" ht="13.5" customHeight="1">
      <c r="A4" s="339"/>
      <c r="B4" s="339"/>
      <c r="C4" s="339"/>
      <c r="D4" s="339"/>
      <c r="E4" s="339"/>
      <c r="F4" s="256"/>
      <c r="G4" s="256" t="s">
        <v>255</v>
      </c>
      <c r="H4" s="255" t="s">
        <v>13</v>
      </c>
      <c r="I4" s="255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254"/>
      <c r="P4" s="254" t="s">
        <v>260</v>
      </c>
      <c r="Q4" s="255" t="s">
        <v>90</v>
      </c>
      <c r="R4" s="254" t="s">
        <v>261</v>
      </c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</row>
    <row r="5" spans="1:40" ht="109.5" customHeight="1">
      <c r="A5" s="339"/>
      <c r="B5" s="339"/>
      <c r="C5" s="339"/>
      <c r="D5" s="339"/>
      <c r="E5" s="339"/>
      <c r="F5" s="256"/>
      <c r="G5" s="256"/>
      <c r="H5" s="254" t="s">
        <v>262</v>
      </c>
      <c r="I5" s="254" t="s">
        <v>263</v>
      </c>
      <c r="J5" s="254"/>
      <c r="K5" s="254"/>
      <c r="L5" s="254"/>
      <c r="M5" s="254"/>
      <c r="N5" s="254"/>
      <c r="O5" s="254"/>
      <c r="P5" s="254"/>
      <c r="Q5" s="256" t="s">
        <v>264</v>
      </c>
      <c r="R5" s="254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</row>
    <row r="6" spans="1:40" ht="12" customHeight="1">
      <c r="A6" s="379">
        <v>1</v>
      </c>
      <c r="B6" s="379">
        <v>2</v>
      </c>
      <c r="C6" s="379">
        <v>3</v>
      </c>
      <c r="D6" s="379">
        <v>4</v>
      </c>
      <c r="E6" s="379">
        <v>5</v>
      </c>
      <c r="F6" s="379">
        <v>6</v>
      </c>
      <c r="G6" s="379">
        <v>7</v>
      </c>
      <c r="H6" s="379">
        <v>8</v>
      </c>
      <c r="I6" s="379">
        <v>9</v>
      </c>
      <c r="J6" s="379">
        <v>10</v>
      </c>
      <c r="K6" s="379">
        <v>11</v>
      </c>
      <c r="L6" s="379">
        <v>12</v>
      </c>
      <c r="M6" s="379">
        <v>13</v>
      </c>
      <c r="N6" s="379">
        <v>14</v>
      </c>
      <c r="O6" s="379">
        <v>15</v>
      </c>
      <c r="P6" s="379">
        <v>16</v>
      </c>
      <c r="Q6" s="379">
        <v>17</v>
      </c>
      <c r="R6" s="379">
        <v>18</v>
      </c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</row>
    <row r="7" spans="1:40" ht="16.5" customHeight="1">
      <c r="A7" s="393">
        <v>801</v>
      </c>
      <c r="B7" s="393"/>
      <c r="C7" s="393"/>
      <c r="D7" s="394" t="s">
        <v>180</v>
      </c>
      <c r="E7" s="395">
        <f>E8+E26+E32+E46</f>
        <v>1673283</v>
      </c>
      <c r="F7" s="395">
        <f>F8+F26+F32+F46</f>
        <v>1673283</v>
      </c>
      <c r="G7" s="395">
        <f>G8+G26+G32+G46</f>
        <v>1667706</v>
      </c>
      <c r="H7" s="395">
        <f>H8+H26+H32+H46</f>
        <v>1144488</v>
      </c>
      <c r="I7" s="395">
        <f>I8+I26+I32+I46</f>
        <v>523218</v>
      </c>
      <c r="J7" s="395">
        <f>J8+J26+J32+J46</f>
        <v>0</v>
      </c>
      <c r="K7" s="395">
        <f>K8+K26+K32+K46</f>
        <v>5577</v>
      </c>
      <c r="L7" s="395">
        <f>L8+L26+L32+L46</f>
        <v>0</v>
      </c>
      <c r="M7" s="395">
        <f>M8+M26+M32+M46</f>
        <v>0</v>
      </c>
      <c r="N7" s="395">
        <f>N8+N26+N32+N46</f>
        <v>0</v>
      </c>
      <c r="O7" s="395">
        <f>O8+O26+O32+O46</f>
        <v>0</v>
      </c>
      <c r="P7" s="395">
        <f>P8+P26+P32+P46</f>
        <v>0</v>
      </c>
      <c r="Q7" s="395">
        <f>Q8+Q26+Q32+Q46</f>
        <v>0</v>
      </c>
      <c r="R7" s="395">
        <f>R8+R26+R32+R46</f>
        <v>0</v>
      </c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</row>
    <row r="8" spans="1:40" ht="16.5" customHeight="1">
      <c r="A8" s="396"/>
      <c r="B8" s="396">
        <v>80104</v>
      </c>
      <c r="C8" s="396"/>
      <c r="D8" s="397" t="s">
        <v>343</v>
      </c>
      <c r="E8" s="398">
        <f>SUM(E9:E25)</f>
        <v>1435576</v>
      </c>
      <c r="F8" s="398">
        <f>SUM(F9:F25)</f>
        <v>1435576</v>
      </c>
      <c r="G8" s="398">
        <f>SUM(G9:G25)</f>
        <v>1429999</v>
      </c>
      <c r="H8" s="398">
        <f>SUM(H9:H25)</f>
        <v>1144488</v>
      </c>
      <c r="I8" s="398">
        <f>SUM(I9:I25)</f>
        <v>285511</v>
      </c>
      <c r="J8" s="398">
        <f>SUM(J9:J25)</f>
        <v>0</v>
      </c>
      <c r="K8" s="398">
        <f>SUM(K9:K25)</f>
        <v>5577</v>
      </c>
      <c r="L8" s="398">
        <f>SUM(L9:L25)</f>
        <v>0</v>
      </c>
      <c r="M8" s="398">
        <f>SUM(M9:M25)</f>
        <v>0</v>
      </c>
      <c r="N8" s="398">
        <f>SUM(N9:N25)</f>
        <v>0</v>
      </c>
      <c r="O8" s="398">
        <f>SUM(O9:O25)</f>
        <v>0</v>
      </c>
      <c r="P8" s="398">
        <f>SUM(P9:P25)</f>
        <v>0</v>
      </c>
      <c r="Q8" s="398">
        <f>SUM(Q9:Q25)</f>
        <v>0</v>
      </c>
      <c r="R8" s="398">
        <f>SUM(R9:R25)</f>
        <v>0</v>
      </c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</row>
    <row r="9" spans="1:40" ht="17.25" customHeight="1">
      <c r="A9" s="399"/>
      <c r="B9" s="399"/>
      <c r="C9" s="400">
        <v>3020</v>
      </c>
      <c r="D9" s="401" t="s">
        <v>465</v>
      </c>
      <c r="E9" s="402">
        <f>F9+O9</f>
        <v>5577</v>
      </c>
      <c r="F9" s="402">
        <f>G9+J9+K9+L9+M9+N9</f>
        <v>5577</v>
      </c>
      <c r="G9" s="402">
        <f>H9+I9</f>
        <v>0</v>
      </c>
      <c r="H9" s="403">
        <v>0</v>
      </c>
      <c r="I9" s="403">
        <v>0</v>
      </c>
      <c r="J9" s="403">
        <v>0</v>
      </c>
      <c r="K9" s="403">
        <v>5577</v>
      </c>
      <c r="L9" s="402"/>
      <c r="M9" s="402"/>
      <c r="N9" s="402"/>
      <c r="O9" s="402"/>
      <c r="P9" s="402"/>
      <c r="Q9" s="402"/>
      <c r="R9" s="40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</row>
    <row r="10" spans="1:40" ht="17.25" customHeight="1">
      <c r="A10" s="399"/>
      <c r="B10" s="399"/>
      <c r="C10" s="400">
        <v>4010</v>
      </c>
      <c r="D10" s="401" t="s">
        <v>328</v>
      </c>
      <c r="E10" s="402">
        <f>F10+O10</f>
        <v>885192</v>
      </c>
      <c r="F10" s="402">
        <f>G10+J10+K10+L10+M10+N10</f>
        <v>885192</v>
      </c>
      <c r="G10" s="402">
        <f>H10+I10</f>
        <v>885192</v>
      </c>
      <c r="H10" s="403">
        <f>(493692+40249+86406+19800+8159)+(184776+1800+33430+16880)</f>
        <v>885192</v>
      </c>
      <c r="I10" s="403"/>
      <c r="J10" s="403"/>
      <c r="K10" s="403"/>
      <c r="L10" s="402"/>
      <c r="M10" s="402"/>
      <c r="N10" s="402"/>
      <c r="O10" s="402"/>
      <c r="P10" s="402"/>
      <c r="Q10" s="402"/>
      <c r="R10" s="40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</row>
    <row r="11" spans="1:40" ht="17.25" customHeight="1">
      <c r="A11" s="399"/>
      <c r="B11" s="399"/>
      <c r="C11" s="400">
        <v>4040</v>
      </c>
      <c r="D11" s="401" t="s">
        <v>346</v>
      </c>
      <c r="E11" s="402">
        <f>F11+O11</f>
        <v>81845</v>
      </c>
      <c r="F11" s="402">
        <f>G11+J11+K11+L11+M11+N11</f>
        <v>81845</v>
      </c>
      <c r="G11" s="402">
        <f>H11+I11</f>
        <v>81845</v>
      </c>
      <c r="H11" s="403">
        <v>81845</v>
      </c>
      <c r="I11" s="403"/>
      <c r="J11" s="403"/>
      <c r="K11" s="403"/>
      <c r="L11" s="402"/>
      <c r="M11" s="402"/>
      <c r="N11" s="402"/>
      <c r="O11" s="402"/>
      <c r="P11" s="402"/>
      <c r="Q11" s="402"/>
      <c r="R11" s="40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</row>
    <row r="12" spans="1:40" ht="17.25" customHeight="1">
      <c r="A12" s="399"/>
      <c r="B12" s="399"/>
      <c r="C12" s="400">
        <v>4110</v>
      </c>
      <c r="D12" s="401" t="s">
        <v>347</v>
      </c>
      <c r="E12" s="402">
        <f>F12+O12</f>
        <v>153759</v>
      </c>
      <c r="F12" s="402">
        <f>G12+J12+K12+L12+M12+N12</f>
        <v>153759</v>
      </c>
      <c r="G12" s="402">
        <f>H12+I12</f>
        <v>153759</v>
      </c>
      <c r="H12" s="402">
        <v>153759</v>
      </c>
      <c r="I12" s="403"/>
      <c r="J12" s="403"/>
      <c r="K12" s="403"/>
      <c r="L12" s="402"/>
      <c r="M12" s="402"/>
      <c r="N12" s="402"/>
      <c r="O12" s="402"/>
      <c r="P12" s="402"/>
      <c r="Q12" s="402"/>
      <c r="R12" s="40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</row>
    <row r="13" spans="1:40" ht="17.25" customHeight="1">
      <c r="A13" s="399"/>
      <c r="B13" s="399"/>
      <c r="C13" s="400">
        <v>4120</v>
      </c>
      <c r="D13" s="401" t="s">
        <v>348</v>
      </c>
      <c r="E13" s="402">
        <f>F13+O13</f>
        <v>23692</v>
      </c>
      <c r="F13" s="402">
        <f>G13+J13+K13+L13+M13+N13</f>
        <v>23692</v>
      </c>
      <c r="G13" s="402">
        <f>H13+I13</f>
        <v>23692</v>
      </c>
      <c r="H13" s="402">
        <v>23692</v>
      </c>
      <c r="I13" s="403"/>
      <c r="J13" s="403"/>
      <c r="K13" s="403"/>
      <c r="L13" s="402"/>
      <c r="M13" s="402"/>
      <c r="N13" s="402"/>
      <c r="O13" s="402"/>
      <c r="P13" s="402"/>
      <c r="Q13" s="402"/>
      <c r="R13" s="40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</row>
    <row r="14" spans="1:40" ht="17.25" customHeight="1">
      <c r="A14" s="399"/>
      <c r="B14" s="399"/>
      <c r="C14" s="400">
        <v>4210</v>
      </c>
      <c r="D14" s="401" t="s">
        <v>339</v>
      </c>
      <c r="E14" s="402">
        <f>F14+O14</f>
        <v>20000</v>
      </c>
      <c r="F14" s="402">
        <f>G14+J14+K14+L14+M14+N14</f>
        <v>20000</v>
      </c>
      <c r="G14" s="402">
        <f>H14+I14</f>
        <v>20000</v>
      </c>
      <c r="H14" s="403">
        <v>0</v>
      </c>
      <c r="I14" s="403">
        <v>20000</v>
      </c>
      <c r="J14" s="403"/>
      <c r="K14" s="403"/>
      <c r="L14" s="402"/>
      <c r="M14" s="402"/>
      <c r="N14" s="402"/>
      <c r="O14" s="402"/>
      <c r="P14" s="402"/>
      <c r="Q14" s="402"/>
      <c r="R14" s="40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</row>
    <row r="15" spans="1:40" ht="15.75" customHeight="1">
      <c r="A15" s="399"/>
      <c r="B15" s="399"/>
      <c r="C15" s="400">
        <v>4240</v>
      </c>
      <c r="D15" s="401" t="s">
        <v>340</v>
      </c>
      <c r="E15" s="402">
        <f>F15+O15</f>
        <v>600</v>
      </c>
      <c r="F15" s="402">
        <f>G15+J15+K15+L15+M15+N15</f>
        <v>600</v>
      </c>
      <c r="G15" s="402">
        <f>H15+I15</f>
        <v>600</v>
      </c>
      <c r="H15" s="403">
        <v>0</v>
      </c>
      <c r="I15" s="403">
        <v>600</v>
      </c>
      <c r="J15" s="403"/>
      <c r="K15" s="403"/>
      <c r="L15" s="402"/>
      <c r="M15" s="402"/>
      <c r="N15" s="402"/>
      <c r="O15" s="402"/>
      <c r="P15" s="402"/>
      <c r="Q15" s="402"/>
      <c r="R15" s="40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</row>
    <row r="16" spans="1:40" ht="17.25" customHeight="1">
      <c r="A16" s="399"/>
      <c r="B16" s="399"/>
      <c r="C16" s="400">
        <v>4260</v>
      </c>
      <c r="D16" s="401" t="s">
        <v>349</v>
      </c>
      <c r="E16" s="402">
        <f>F16+O16</f>
        <v>176067</v>
      </c>
      <c r="F16" s="402">
        <f>G16+J16+K16+L16+M16+N16</f>
        <v>176067</v>
      </c>
      <c r="G16" s="402">
        <f>H16+I16</f>
        <v>176067</v>
      </c>
      <c r="H16" s="403">
        <v>0</v>
      </c>
      <c r="I16" s="403">
        <v>176067</v>
      </c>
      <c r="J16" s="403"/>
      <c r="K16" s="403"/>
      <c r="L16" s="402"/>
      <c r="M16" s="402"/>
      <c r="N16" s="402"/>
      <c r="O16" s="402"/>
      <c r="P16" s="402"/>
      <c r="Q16" s="402"/>
      <c r="R16" s="40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</row>
    <row r="17" spans="1:40" ht="17.25" customHeight="1">
      <c r="A17" s="399"/>
      <c r="B17" s="399"/>
      <c r="C17" s="400">
        <v>4270</v>
      </c>
      <c r="D17" s="401" t="s">
        <v>294</v>
      </c>
      <c r="E17" s="402">
        <f>F17+O17</f>
        <v>6000</v>
      </c>
      <c r="F17" s="402">
        <f>G17+J17+K17+L17+M17+N17</f>
        <v>6000</v>
      </c>
      <c r="G17" s="402">
        <f>H17+I17</f>
        <v>6000</v>
      </c>
      <c r="H17" s="403">
        <v>0</v>
      </c>
      <c r="I17" s="403">
        <v>6000</v>
      </c>
      <c r="J17" s="403"/>
      <c r="K17" s="403"/>
      <c r="L17" s="402"/>
      <c r="M17" s="402"/>
      <c r="N17" s="402"/>
      <c r="O17" s="402"/>
      <c r="P17" s="402"/>
      <c r="Q17" s="402"/>
      <c r="R17" s="40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</row>
    <row r="18" spans="1:40" ht="17.25" customHeight="1">
      <c r="A18" s="399"/>
      <c r="B18" s="399"/>
      <c r="C18" s="400">
        <v>4280</v>
      </c>
      <c r="D18" s="401" t="s">
        <v>341</v>
      </c>
      <c r="E18" s="402">
        <f>F18+O18</f>
        <v>100</v>
      </c>
      <c r="F18" s="402">
        <f>G18+J18+K18+L18+M18+N18</f>
        <v>100</v>
      </c>
      <c r="G18" s="402">
        <f>H18+I18</f>
        <v>100</v>
      </c>
      <c r="H18" s="403">
        <v>0</v>
      </c>
      <c r="I18" s="403">
        <v>100</v>
      </c>
      <c r="J18" s="403"/>
      <c r="K18" s="403"/>
      <c r="L18" s="402"/>
      <c r="M18" s="402"/>
      <c r="N18" s="402"/>
      <c r="O18" s="402"/>
      <c r="P18" s="402"/>
      <c r="Q18" s="402"/>
      <c r="R18" s="40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</row>
    <row r="19" spans="1:40" ht="17.25" customHeight="1">
      <c r="A19" s="399"/>
      <c r="B19" s="399"/>
      <c r="C19" s="400">
        <v>4300</v>
      </c>
      <c r="D19" s="401" t="s">
        <v>350</v>
      </c>
      <c r="E19" s="402">
        <f>F19+O19</f>
        <v>20000</v>
      </c>
      <c r="F19" s="402">
        <f>G19+J19+K19+L19+M19+N19</f>
        <v>20000</v>
      </c>
      <c r="G19" s="402">
        <f>H19+I19</f>
        <v>20000</v>
      </c>
      <c r="H19" s="403">
        <v>0</v>
      </c>
      <c r="I19" s="403">
        <v>20000</v>
      </c>
      <c r="J19" s="403"/>
      <c r="K19" s="403"/>
      <c r="L19" s="402"/>
      <c r="M19" s="402"/>
      <c r="N19" s="402"/>
      <c r="O19" s="402"/>
      <c r="P19" s="402"/>
      <c r="Q19" s="402"/>
      <c r="R19" s="40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</row>
    <row r="20" spans="1:40" ht="17.25" customHeight="1">
      <c r="A20" s="399"/>
      <c r="B20" s="399"/>
      <c r="C20" s="400">
        <v>4350</v>
      </c>
      <c r="D20" s="401" t="s">
        <v>351</v>
      </c>
      <c r="E20" s="402">
        <f>F20+O20</f>
        <v>1075</v>
      </c>
      <c r="F20" s="402">
        <f>G20+J20+K20+L20+M20+N20</f>
        <v>1075</v>
      </c>
      <c r="G20" s="402">
        <f>H20+I20</f>
        <v>1075</v>
      </c>
      <c r="H20" s="403">
        <v>0</v>
      </c>
      <c r="I20" s="403">
        <v>1075</v>
      </c>
      <c r="J20" s="403"/>
      <c r="K20" s="403"/>
      <c r="L20" s="402"/>
      <c r="M20" s="402"/>
      <c r="N20" s="402"/>
      <c r="O20" s="402"/>
      <c r="P20" s="402"/>
      <c r="Q20" s="402"/>
      <c r="R20" s="40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</row>
    <row r="21" spans="1:40" ht="27" customHeight="1">
      <c r="A21" s="399"/>
      <c r="B21" s="399"/>
      <c r="C21" s="400">
        <v>4370</v>
      </c>
      <c r="D21" s="401" t="s">
        <v>467</v>
      </c>
      <c r="E21" s="402">
        <f>F21+O21</f>
        <v>3000</v>
      </c>
      <c r="F21" s="402">
        <f>G21+J21+K21+L21+M21+N21</f>
        <v>3000</v>
      </c>
      <c r="G21" s="402">
        <f>H21+I21</f>
        <v>3000</v>
      </c>
      <c r="H21" s="403">
        <v>0</v>
      </c>
      <c r="I21" s="403">
        <v>3000</v>
      </c>
      <c r="J21" s="403"/>
      <c r="K21" s="403"/>
      <c r="L21" s="402"/>
      <c r="M21" s="402"/>
      <c r="N21" s="402"/>
      <c r="O21" s="402"/>
      <c r="P21" s="402"/>
      <c r="Q21" s="402"/>
      <c r="R21" s="40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</row>
    <row r="22" spans="1:40" ht="17.25" customHeight="1">
      <c r="A22" s="399"/>
      <c r="B22" s="399"/>
      <c r="C22" s="400">
        <v>4410</v>
      </c>
      <c r="D22" s="401" t="s">
        <v>353</v>
      </c>
      <c r="E22" s="402">
        <f>F22+O22</f>
        <v>400</v>
      </c>
      <c r="F22" s="402">
        <f>G22+J22+K22+L22+M22+N22</f>
        <v>400</v>
      </c>
      <c r="G22" s="402">
        <f>H22+I22</f>
        <v>400</v>
      </c>
      <c r="H22" s="403">
        <v>0</v>
      </c>
      <c r="I22" s="403">
        <v>400</v>
      </c>
      <c r="J22" s="403"/>
      <c r="K22" s="403"/>
      <c r="L22" s="402"/>
      <c r="M22" s="402"/>
      <c r="N22" s="402"/>
      <c r="O22" s="402"/>
      <c r="P22" s="402"/>
      <c r="Q22" s="402"/>
      <c r="R22" s="40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</row>
    <row r="23" spans="1:40" ht="17.25" customHeight="1">
      <c r="A23" s="399"/>
      <c r="B23" s="399"/>
      <c r="C23" s="400">
        <v>4430</v>
      </c>
      <c r="D23" s="401" t="s">
        <v>354</v>
      </c>
      <c r="E23" s="402">
        <f>F23+O23</f>
        <v>736</v>
      </c>
      <c r="F23" s="402">
        <f>G23+J23+K23+L23+M23+N23</f>
        <v>736</v>
      </c>
      <c r="G23" s="402">
        <f>H23+I23</f>
        <v>736</v>
      </c>
      <c r="H23" s="403">
        <v>0</v>
      </c>
      <c r="I23" s="403">
        <v>736</v>
      </c>
      <c r="J23" s="403"/>
      <c r="K23" s="403"/>
      <c r="L23" s="402"/>
      <c r="M23" s="402"/>
      <c r="N23" s="402"/>
      <c r="O23" s="402"/>
      <c r="P23" s="402"/>
      <c r="Q23" s="402"/>
      <c r="R23" s="40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</row>
    <row r="24" spans="1:40" ht="17.25" customHeight="1">
      <c r="A24" s="399"/>
      <c r="B24" s="399"/>
      <c r="C24" s="400">
        <v>4440</v>
      </c>
      <c r="D24" s="401" t="s">
        <v>342</v>
      </c>
      <c r="E24" s="402">
        <f>F24+O24</f>
        <v>56333</v>
      </c>
      <c r="F24" s="402">
        <f>G24+J24+K24+L24+M24+N24</f>
        <v>56333</v>
      </c>
      <c r="G24" s="402">
        <f>H24+I24</f>
        <v>56333</v>
      </c>
      <c r="H24" s="403">
        <v>0</v>
      </c>
      <c r="I24" s="404">
        <v>56333</v>
      </c>
      <c r="J24" s="403"/>
      <c r="K24" s="403"/>
      <c r="L24" s="402"/>
      <c r="M24" s="402"/>
      <c r="N24" s="402"/>
      <c r="O24" s="402"/>
      <c r="P24" s="402"/>
      <c r="Q24" s="402"/>
      <c r="R24" s="40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</row>
    <row r="25" spans="1:40" ht="27" customHeight="1">
      <c r="A25" s="399"/>
      <c r="B25" s="399"/>
      <c r="C25" s="400">
        <v>4700</v>
      </c>
      <c r="D25" s="401" t="s">
        <v>355</v>
      </c>
      <c r="E25" s="402">
        <f>F25+O25</f>
        <v>1200</v>
      </c>
      <c r="F25" s="402">
        <f>G25+J25+K25+L25+M25+N25</f>
        <v>1200</v>
      </c>
      <c r="G25" s="402">
        <f>H25+I25</f>
        <v>1200</v>
      </c>
      <c r="H25" s="403">
        <v>0</v>
      </c>
      <c r="I25" s="403">
        <v>1200</v>
      </c>
      <c r="J25" s="403"/>
      <c r="K25" s="403"/>
      <c r="L25" s="402"/>
      <c r="M25" s="402"/>
      <c r="N25" s="402"/>
      <c r="O25" s="402"/>
      <c r="P25" s="402"/>
      <c r="Q25" s="402"/>
      <c r="R25" s="40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</row>
    <row r="26" spans="1:40" ht="16.5" customHeight="1">
      <c r="A26" s="397"/>
      <c r="B26" s="405">
        <v>80146</v>
      </c>
      <c r="C26" s="406"/>
      <c r="D26" s="397" t="s">
        <v>362</v>
      </c>
      <c r="E26" s="407">
        <f>SUM(E27:E31)</f>
        <v>4600</v>
      </c>
      <c r="F26" s="407">
        <f>SUM(F27:F31)</f>
        <v>4600</v>
      </c>
      <c r="G26" s="407">
        <f>SUM(G27:G31)</f>
        <v>4600</v>
      </c>
      <c r="H26" s="407">
        <f>SUM(H27:H31)</f>
        <v>0</v>
      </c>
      <c r="I26" s="407">
        <f>SUM(I27:I31)</f>
        <v>4600</v>
      </c>
      <c r="J26" s="407">
        <f>SUM(J29:J31)</f>
        <v>0</v>
      </c>
      <c r="K26" s="407">
        <f>SUM(K29:K31)</f>
        <v>0</v>
      </c>
      <c r="L26" s="407">
        <f>SUM(L29:L31)</f>
        <v>0</v>
      </c>
      <c r="M26" s="407">
        <f>SUM(M29:M31)</f>
        <v>0</v>
      </c>
      <c r="N26" s="407">
        <f>SUM(N29:N31)</f>
        <v>0</v>
      </c>
      <c r="O26" s="407">
        <f>SUM(O29:O31)</f>
        <v>0</v>
      </c>
      <c r="P26" s="407">
        <f>SUM(P29:P31)</f>
        <v>0</v>
      </c>
      <c r="Q26" s="407">
        <f>SUM(Q29:Q31)</f>
        <v>0</v>
      </c>
      <c r="R26" s="407">
        <f>SUM(R29:R31)</f>
        <v>0</v>
      </c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</row>
    <row r="27" spans="1:40" ht="17.25" customHeight="1">
      <c r="A27" s="397"/>
      <c r="B27" s="405"/>
      <c r="C27" s="400">
        <v>4210</v>
      </c>
      <c r="D27" s="401" t="s">
        <v>339</v>
      </c>
      <c r="E27" s="402">
        <f>F27+O27</f>
        <v>500</v>
      </c>
      <c r="F27" s="402">
        <f>G27+J27+K27+L27+M27+N27</f>
        <v>500</v>
      </c>
      <c r="G27" s="402">
        <f>H27+I27</f>
        <v>500</v>
      </c>
      <c r="H27" s="402"/>
      <c r="I27" s="403">
        <v>500</v>
      </c>
      <c r="J27" s="407"/>
      <c r="K27" s="407"/>
      <c r="L27" s="407"/>
      <c r="M27" s="407"/>
      <c r="N27" s="407"/>
      <c r="O27" s="407"/>
      <c r="P27" s="407"/>
      <c r="Q27" s="407"/>
      <c r="R27" s="407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</row>
    <row r="28" spans="1:40" ht="15.75" customHeight="1">
      <c r="A28" s="397"/>
      <c r="B28" s="405"/>
      <c r="C28" s="400">
        <v>4240</v>
      </c>
      <c r="D28" s="401" t="s">
        <v>340</v>
      </c>
      <c r="E28" s="402">
        <f>F28+O28</f>
        <v>0</v>
      </c>
      <c r="F28" s="402">
        <f>G28+J28+K28+L28+M28+N28</f>
        <v>0</v>
      </c>
      <c r="G28" s="402">
        <f>H28+I28</f>
        <v>0</v>
      </c>
      <c r="H28" s="402"/>
      <c r="I28" s="402"/>
      <c r="J28" s="407"/>
      <c r="K28" s="407"/>
      <c r="L28" s="407"/>
      <c r="M28" s="407"/>
      <c r="N28" s="407"/>
      <c r="O28" s="407"/>
      <c r="P28" s="407"/>
      <c r="Q28" s="407"/>
      <c r="R28" s="407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</row>
    <row r="29" spans="1:18" ht="17.25" customHeight="1">
      <c r="A29" s="399"/>
      <c r="B29" s="399"/>
      <c r="C29" s="400">
        <v>4300</v>
      </c>
      <c r="D29" s="401" t="s">
        <v>350</v>
      </c>
      <c r="E29" s="402">
        <f>F29+O29</f>
        <v>1600</v>
      </c>
      <c r="F29" s="402">
        <f>G29+J29+K29+L29+M29+N29</f>
        <v>1600</v>
      </c>
      <c r="G29" s="402">
        <f>H29+I29</f>
        <v>1600</v>
      </c>
      <c r="H29" s="402"/>
      <c r="I29" s="403">
        <v>1600</v>
      </c>
      <c r="J29" s="402"/>
      <c r="K29" s="402"/>
      <c r="L29" s="402"/>
      <c r="M29" s="402"/>
      <c r="N29" s="402"/>
      <c r="O29" s="402"/>
      <c r="P29" s="402"/>
      <c r="Q29" s="402"/>
      <c r="R29" s="402"/>
    </row>
    <row r="30" spans="1:18" ht="17.25" customHeight="1">
      <c r="A30" s="399"/>
      <c r="B30" s="399"/>
      <c r="C30" s="400">
        <v>4410</v>
      </c>
      <c r="D30" s="401" t="s">
        <v>353</v>
      </c>
      <c r="E30" s="402">
        <f>F30+O30</f>
        <v>1500</v>
      </c>
      <c r="F30" s="402">
        <f>G30+J30+K30+L30+M30+N30</f>
        <v>1500</v>
      </c>
      <c r="G30" s="402">
        <f>H30+I30</f>
        <v>1500</v>
      </c>
      <c r="H30" s="402"/>
      <c r="I30" s="403">
        <v>1500</v>
      </c>
      <c r="J30" s="402"/>
      <c r="K30" s="402"/>
      <c r="L30" s="402"/>
      <c r="M30" s="402"/>
      <c r="N30" s="402"/>
      <c r="O30" s="402"/>
      <c r="P30" s="402"/>
      <c r="Q30" s="402"/>
      <c r="R30" s="402"/>
    </row>
    <row r="31" spans="1:18" ht="27" customHeight="1">
      <c r="A31" s="399"/>
      <c r="B31" s="399"/>
      <c r="C31" s="400">
        <v>4700</v>
      </c>
      <c r="D31" s="401" t="s">
        <v>355</v>
      </c>
      <c r="E31" s="402">
        <f>F31+O31</f>
        <v>1000</v>
      </c>
      <c r="F31" s="402">
        <f>G31+J31+K31+L31+M31+N31</f>
        <v>1000</v>
      </c>
      <c r="G31" s="402">
        <f>H31+I31</f>
        <v>1000</v>
      </c>
      <c r="H31" s="402"/>
      <c r="I31" s="403">
        <v>1000</v>
      </c>
      <c r="J31" s="402"/>
      <c r="K31" s="402"/>
      <c r="L31" s="402"/>
      <c r="M31" s="402"/>
      <c r="N31" s="402"/>
      <c r="O31" s="402"/>
      <c r="P31" s="402"/>
      <c r="Q31" s="402"/>
      <c r="R31" s="402"/>
    </row>
    <row r="32" spans="1:18" ht="16.5" customHeight="1">
      <c r="A32" s="397"/>
      <c r="B32" s="408">
        <v>80148</v>
      </c>
      <c r="C32" s="409"/>
      <c r="D32" s="410" t="s">
        <v>468</v>
      </c>
      <c r="E32" s="411">
        <f>SUM(E33:E45)</f>
        <v>222112</v>
      </c>
      <c r="F32" s="411">
        <f>SUM(F33:F45)</f>
        <v>222112</v>
      </c>
      <c r="G32" s="411">
        <f>SUM(G33:G45)</f>
        <v>222112</v>
      </c>
      <c r="H32" s="411">
        <f>SUM(H33:H45)</f>
        <v>0</v>
      </c>
      <c r="I32" s="411">
        <f>SUM(I33:I45)</f>
        <v>222112</v>
      </c>
      <c r="J32" s="411">
        <f>SUM(J33:J45)</f>
        <v>0</v>
      </c>
      <c r="K32" s="411">
        <f>SUM(K33:K45)</f>
        <v>0</v>
      </c>
      <c r="L32" s="411">
        <f>SUM(L33:L45)</f>
        <v>0</v>
      </c>
      <c r="M32" s="411">
        <f>SUM(M33:M45)</f>
        <v>0</v>
      </c>
      <c r="N32" s="411">
        <f>SUM(N33:N45)</f>
        <v>0</v>
      </c>
      <c r="O32" s="411">
        <f>SUM(O33:O45)</f>
        <v>0</v>
      </c>
      <c r="P32" s="411">
        <f>SUM(P33:P45)</f>
        <v>0</v>
      </c>
      <c r="Q32" s="411">
        <f>SUM(Q33:Q45)</f>
        <v>0</v>
      </c>
      <c r="R32" s="411">
        <f>SUM(R33:R45)</f>
        <v>0</v>
      </c>
    </row>
    <row r="33" spans="1:18" ht="17.25" customHeight="1">
      <c r="A33" s="399"/>
      <c r="B33" s="399"/>
      <c r="C33" s="400">
        <v>3020</v>
      </c>
      <c r="D33" s="401" t="s">
        <v>465</v>
      </c>
      <c r="E33" s="402">
        <f>F33+O33</f>
        <v>0</v>
      </c>
      <c r="F33" s="402">
        <f>G33+J33+K33+L33+M33+N33</f>
        <v>0</v>
      </c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</row>
    <row r="34" spans="1:18" ht="17.25" customHeight="1">
      <c r="A34" s="399"/>
      <c r="B34" s="399"/>
      <c r="C34" s="400">
        <v>4010</v>
      </c>
      <c r="D34" s="401" t="s">
        <v>328</v>
      </c>
      <c r="E34" s="402">
        <f>F34+O34</f>
        <v>0</v>
      </c>
      <c r="F34" s="402">
        <f>G34+J34+K34+L34+M34+N34</f>
        <v>0</v>
      </c>
      <c r="G34" s="402">
        <f>H34+I34</f>
        <v>0</v>
      </c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</row>
    <row r="35" spans="1:18" ht="17.25" customHeight="1">
      <c r="A35" s="399"/>
      <c r="B35" s="399"/>
      <c r="C35" s="400">
        <v>4040</v>
      </c>
      <c r="D35" s="401" t="s">
        <v>346</v>
      </c>
      <c r="E35" s="402">
        <f>F35+O35</f>
        <v>0</v>
      </c>
      <c r="F35" s="402">
        <f>G35+J35+K35+L35+M35+N35</f>
        <v>0</v>
      </c>
      <c r="G35" s="402">
        <f>H35+I35</f>
        <v>0</v>
      </c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</row>
    <row r="36" spans="1:18" ht="17.25" customHeight="1">
      <c r="A36" s="399"/>
      <c r="B36" s="399"/>
      <c r="C36" s="400">
        <v>4110</v>
      </c>
      <c r="D36" s="401" t="s">
        <v>347</v>
      </c>
      <c r="E36" s="402">
        <f>F36+O36</f>
        <v>0</v>
      </c>
      <c r="F36" s="402">
        <f>G36+J36+K36+L36+M36+N36</f>
        <v>0</v>
      </c>
      <c r="G36" s="402">
        <f>H36+I36</f>
        <v>0</v>
      </c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</row>
    <row r="37" spans="1:18" ht="17.25" customHeight="1">
      <c r="A37" s="399"/>
      <c r="B37" s="399"/>
      <c r="C37" s="400">
        <v>4120</v>
      </c>
      <c r="D37" s="401" t="s">
        <v>348</v>
      </c>
      <c r="E37" s="402">
        <f>F37+O37</f>
        <v>0</v>
      </c>
      <c r="F37" s="402">
        <f>G37+J37+K37+L37+M37+N37</f>
        <v>0</v>
      </c>
      <c r="G37" s="402">
        <f>H37+I37</f>
        <v>0</v>
      </c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</row>
    <row r="38" spans="1:18" ht="17.25" customHeight="1">
      <c r="A38" s="399"/>
      <c r="B38" s="399"/>
      <c r="C38" s="400">
        <v>4210</v>
      </c>
      <c r="D38" s="401" t="s">
        <v>339</v>
      </c>
      <c r="E38" s="402">
        <f>F38+O38</f>
        <v>0</v>
      </c>
      <c r="F38" s="402">
        <f>G38+J38+K38+L38+M38+N38</f>
        <v>0</v>
      </c>
      <c r="G38" s="402">
        <f>H38+I38</f>
        <v>0</v>
      </c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</row>
    <row r="39" spans="1:18" ht="17.25" customHeight="1">
      <c r="A39" s="399"/>
      <c r="B39" s="399"/>
      <c r="C39" s="400">
        <v>4220</v>
      </c>
      <c r="D39" s="401" t="s">
        <v>469</v>
      </c>
      <c r="E39" s="402">
        <f>F39+O39</f>
        <v>222112</v>
      </c>
      <c r="F39" s="402">
        <f>G39+J39+K39+L39+M39+N39</f>
        <v>222112</v>
      </c>
      <c r="G39" s="402">
        <f>H39+I39</f>
        <v>222112</v>
      </c>
      <c r="H39" s="402"/>
      <c r="I39" s="412">
        <v>222112</v>
      </c>
      <c r="J39" s="402"/>
      <c r="K39" s="402"/>
      <c r="L39" s="402"/>
      <c r="M39" s="402"/>
      <c r="N39" s="402"/>
      <c r="O39" s="402"/>
      <c r="P39" s="402"/>
      <c r="Q39" s="402"/>
      <c r="R39" s="402"/>
    </row>
    <row r="40" spans="1:18" ht="17.25" customHeight="1">
      <c r="A40" s="399"/>
      <c r="B40" s="399"/>
      <c r="C40" s="400">
        <v>4270</v>
      </c>
      <c r="D40" s="401" t="s">
        <v>294</v>
      </c>
      <c r="E40" s="402">
        <f>F40+O40</f>
        <v>0</v>
      </c>
      <c r="F40" s="402">
        <f>G40+J40+K40+L40+M40+N40</f>
        <v>0</v>
      </c>
      <c r="G40" s="402">
        <f>H40+I40</f>
        <v>0</v>
      </c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</row>
    <row r="41" spans="1:18" ht="17.25" customHeight="1">
      <c r="A41" s="399"/>
      <c r="B41" s="399"/>
      <c r="C41" s="400">
        <v>4280</v>
      </c>
      <c r="D41" s="401" t="s">
        <v>341</v>
      </c>
      <c r="E41" s="402">
        <f>F41+O41</f>
        <v>0</v>
      </c>
      <c r="F41" s="402">
        <f>G41+J41+K41+L41+M41+N41</f>
        <v>0</v>
      </c>
      <c r="G41" s="402">
        <f>H41+I41</f>
        <v>0</v>
      </c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7.25" customHeight="1">
      <c r="A42" s="399"/>
      <c r="B42" s="399"/>
      <c r="C42" s="400">
        <v>4300</v>
      </c>
      <c r="D42" s="401" t="s">
        <v>350</v>
      </c>
      <c r="E42" s="402">
        <f>F42+O42</f>
        <v>0</v>
      </c>
      <c r="F42" s="402">
        <f>G42+J42+K42+L42+M42+N42</f>
        <v>0</v>
      </c>
      <c r="G42" s="402">
        <f>H42+I42</f>
        <v>0</v>
      </c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</row>
    <row r="43" spans="1:18" ht="17.25" customHeight="1">
      <c r="A43" s="399"/>
      <c r="B43" s="399"/>
      <c r="C43" s="400">
        <v>4410</v>
      </c>
      <c r="D43" s="401" t="s">
        <v>353</v>
      </c>
      <c r="E43" s="402">
        <f>F43+O43</f>
        <v>0</v>
      </c>
      <c r="F43" s="402">
        <f>G43+J43+K43+L43+M43+N43</f>
        <v>0</v>
      </c>
      <c r="G43" s="402">
        <f>H43+I43</f>
        <v>0</v>
      </c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</row>
    <row r="44" spans="1:18" ht="15.75" customHeight="1">
      <c r="A44" s="399"/>
      <c r="B44" s="399"/>
      <c r="C44" s="400">
        <v>4440</v>
      </c>
      <c r="D44" s="401" t="s">
        <v>342</v>
      </c>
      <c r="E44" s="402">
        <f>F44+O44</f>
        <v>0</v>
      </c>
      <c r="F44" s="402">
        <f>G44+J44+K44+L44+M44+N44</f>
        <v>0</v>
      </c>
      <c r="G44" s="402">
        <f>H44+I44</f>
        <v>0</v>
      </c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</row>
    <row r="45" spans="1:18" ht="27" customHeight="1">
      <c r="A45" s="399"/>
      <c r="B45" s="399"/>
      <c r="C45" s="400">
        <v>4700</v>
      </c>
      <c r="D45" s="401" t="s">
        <v>355</v>
      </c>
      <c r="E45" s="402">
        <f>F45+O45</f>
        <v>0</v>
      </c>
      <c r="F45" s="402">
        <f>G45+J45+K45+L45+M45+N45</f>
        <v>0</v>
      </c>
      <c r="G45" s="402">
        <f>H45+I45</f>
        <v>0</v>
      </c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</row>
    <row r="46" spans="1:18" ht="16.5" customHeight="1">
      <c r="A46" s="405"/>
      <c r="B46" s="405">
        <v>80195</v>
      </c>
      <c r="C46" s="406"/>
      <c r="D46" s="397" t="s">
        <v>95</v>
      </c>
      <c r="E46" s="407">
        <f>SUM(E47:E47)</f>
        <v>10995</v>
      </c>
      <c r="F46" s="407">
        <f>SUM(F47:F47)</f>
        <v>10995</v>
      </c>
      <c r="G46" s="407">
        <f>SUM(G47:G47)</f>
        <v>10995</v>
      </c>
      <c r="H46" s="407">
        <f>SUM(H47:H47)</f>
        <v>0</v>
      </c>
      <c r="I46" s="407">
        <f>SUM(I47:I47)</f>
        <v>10995</v>
      </c>
      <c r="J46" s="407">
        <f>SUM(J47:J47)</f>
        <v>0</v>
      </c>
      <c r="K46" s="407">
        <f>SUM(K47:K47)</f>
        <v>0</v>
      </c>
      <c r="L46" s="407">
        <f>SUM(L47:L47)</f>
        <v>0</v>
      </c>
      <c r="M46" s="407">
        <f>SUM(M47:M47)</f>
        <v>0</v>
      </c>
      <c r="N46" s="407">
        <f>SUM(N47:N47)</f>
        <v>0</v>
      </c>
      <c r="O46" s="407">
        <f>SUM(O47:O47)</f>
        <v>0</v>
      </c>
      <c r="P46" s="407">
        <f>SUM(P47:P47)</f>
        <v>0</v>
      </c>
      <c r="Q46" s="407">
        <f>SUM(Q47:Q47)</f>
        <v>0</v>
      </c>
      <c r="R46" s="407">
        <f>SUM(R47:R47)</f>
        <v>0</v>
      </c>
    </row>
    <row r="47" spans="1:18" ht="15.75" customHeight="1">
      <c r="A47" s="399"/>
      <c r="B47" s="399"/>
      <c r="C47" s="400">
        <v>4440</v>
      </c>
      <c r="D47" s="401" t="s">
        <v>342</v>
      </c>
      <c r="E47" s="402">
        <f>F47+O47</f>
        <v>10995</v>
      </c>
      <c r="F47" s="402">
        <f>G47+J47+K47+L47+M47+N47</f>
        <v>10995</v>
      </c>
      <c r="G47" s="402">
        <f>H47+I47</f>
        <v>10995</v>
      </c>
      <c r="H47" s="402"/>
      <c r="I47" s="403">
        <v>10995</v>
      </c>
      <c r="J47" s="402"/>
      <c r="K47" s="402"/>
      <c r="L47" s="402"/>
      <c r="M47" s="402"/>
      <c r="N47" s="402"/>
      <c r="O47" s="402"/>
      <c r="P47" s="402"/>
      <c r="Q47" s="402"/>
      <c r="R47" s="402"/>
    </row>
    <row r="48" spans="5:18" ht="18" customHeight="1">
      <c r="E48" s="359"/>
      <c r="F48" s="359"/>
      <c r="G48" s="360"/>
      <c r="H48" s="361"/>
      <c r="I48" s="361"/>
      <c r="J48" s="362"/>
      <c r="K48" s="362"/>
      <c r="L48" s="362"/>
      <c r="M48" s="362"/>
      <c r="R48" s="361"/>
    </row>
    <row r="49" spans="5:18" ht="18" customHeight="1">
      <c r="E49" s="361"/>
      <c r="F49" s="361"/>
      <c r="G49" s="360"/>
      <c r="H49" s="361"/>
      <c r="I49" s="361"/>
      <c r="J49" s="362"/>
      <c r="K49" s="362"/>
      <c r="L49" s="362"/>
      <c r="M49" s="362"/>
      <c r="R49" s="361"/>
    </row>
    <row r="50" spans="5:18" ht="18" customHeight="1">
      <c r="E50" s="361"/>
      <c r="F50" s="361"/>
      <c r="G50" s="360"/>
      <c r="H50" s="361"/>
      <c r="I50" s="361"/>
      <c r="J50" s="362"/>
      <c r="K50" s="362"/>
      <c r="L50" s="362"/>
      <c r="M50" s="362"/>
      <c r="O50" s="362"/>
      <c r="P50" s="362"/>
      <c r="Q50" s="362"/>
      <c r="R50" s="361"/>
    </row>
    <row r="51" spans="5:18" ht="18" customHeight="1">
      <c r="E51" s="361"/>
      <c r="F51" s="361"/>
      <c r="G51" s="360"/>
      <c r="H51" s="361"/>
      <c r="I51" s="361"/>
      <c r="J51" s="362"/>
      <c r="K51" s="362"/>
      <c r="L51" s="362"/>
      <c r="M51" s="362"/>
      <c r="R51" s="361"/>
    </row>
    <row r="52" spans="5:18" ht="18" customHeight="1">
      <c r="E52" s="361"/>
      <c r="F52" s="361"/>
      <c r="G52" s="360"/>
      <c r="H52" s="361"/>
      <c r="I52" s="361"/>
      <c r="J52" s="362"/>
      <c r="K52" s="362"/>
      <c r="L52" s="362"/>
      <c r="M52" s="362"/>
      <c r="R52" s="361"/>
    </row>
    <row r="53" spans="5:18" ht="18" customHeight="1">
      <c r="E53" s="361"/>
      <c r="F53" s="361"/>
      <c r="G53" s="360"/>
      <c r="H53" s="361"/>
      <c r="I53" s="361"/>
      <c r="J53" s="362"/>
      <c r="K53" s="362"/>
      <c r="L53" s="362"/>
      <c r="M53" s="362"/>
      <c r="R53" s="361"/>
    </row>
    <row r="54" spans="5:18" ht="18" customHeight="1">
      <c r="E54" s="361"/>
      <c r="F54" s="361"/>
      <c r="G54" s="360"/>
      <c r="H54" s="361"/>
      <c r="I54" s="361"/>
      <c r="J54" s="362"/>
      <c r="K54" s="362"/>
      <c r="L54" s="362"/>
      <c r="M54" s="362"/>
      <c r="R54" s="361"/>
    </row>
    <row r="55" spans="5:18" ht="18" customHeight="1">
      <c r="E55" s="361"/>
      <c r="F55" s="361"/>
      <c r="G55" s="360"/>
      <c r="H55" s="361"/>
      <c r="I55" s="361"/>
      <c r="J55" s="362"/>
      <c r="K55" s="362"/>
      <c r="L55" s="362"/>
      <c r="M55" s="362"/>
      <c r="R55" s="361"/>
    </row>
    <row r="56" spans="5:18" ht="18" customHeight="1">
      <c r="E56" s="361"/>
      <c r="F56" s="361"/>
      <c r="G56" s="360"/>
      <c r="H56" s="361"/>
      <c r="I56" s="361"/>
      <c r="J56" s="362"/>
      <c r="K56" s="362"/>
      <c r="L56" s="362"/>
      <c r="M56" s="362"/>
      <c r="R56" s="361"/>
    </row>
    <row r="57" spans="5:18" ht="18" customHeight="1">
      <c r="E57" s="361"/>
      <c r="F57" s="361"/>
      <c r="G57" s="360"/>
      <c r="H57" s="361"/>
      <c r="I57" s="361"/>
      <c r="J57" s="362"/>
      <c r="K57" s="362"/>
      <c r="L57" s="362"/>
      <c r="M57" s="362"/>
      <c r="R57" s="361"/>
    </row>
    <row r="58" spans="5:18" ht="18" customHeight="1">
      <c r="E58" s="361"/>
      <c r="F58" s="361"/>
      <c r="G58" s="360"/>
      <c r="H58" s="361"/>
      <c r="I58" s="361"/>
      <c r="J58" s="362"/>
      <c r="K58" s="362"/>
      <c r="L58" s="362"/>
      <c r="M58" s="362"/>
      <c r="R58" s="361"/>
    </row>
    <row r="59" spans="5:18" ht="18" customHeight="1">
      <c r="E59" s="361"/>
      <c r="F59" s="361"/>
      <c r="G59" s="360"/>
      <c r="H59" s="361"/>
      <c r="I59" s="361"/>
      <c r="J59" s="362"/>
      <c r="K59" s="362"/>
      <c r="L59" s="362"/>
      <c r="M59" s="362"/>
      <c r="R59" s="361"/>
    </row>
    <row r="60" spans="5:18" ht="18" customHeight="1">
      <c r="E60" s="361"/>
      <c r="F60" s="361"/>
      <c r="G60" s="360"/>
      <c r="H60" s="361"/>
      <c r="I60" s="361"/>
      <c r="J60" s="362"/>
      <c r="K60" s="362"/>
      <c r="L60" s="362"/>
      <c r="M60" s="362"/>
      <c r="R60" s="361"/>
    </row>
    <row r="61" spans="5:18" ht="18" customHeight="1">
      <c r="E61" s="361"/>
      <c r="F61" s="361"/>
      <c r="G61" s="360"/>
      <c r="H61" s="361"/>
      <c r="I61" s="361"/>
      <c r="J61" s="362"/>
      <c r="K61" s="362"/>
      <c r="L61" s="362"/>
      <c r="M61" s="362"/>
      <c r="R61" s="361"/>
    </row>
    <row r="62" spans="5:18" ht="18" customHeight="1">
      <c r="E62" s="361"/>
      <c r="F62" s="361"/>
      <c r="G62" s="360"/>
      <c r="H62" s="361"/>
      <c r="I62" s="361"/>
      <c r="J62" s="362"/>
      <c r="K62" s="362"/>
      <c r="L62" s="362"/>
      <c r="M62" s="362"/>
      <c r="R62" s="361"/>
    </row>
    <row r="63" spans="5:18" ht="18" customHeight="1">
      <c r="E63" s="361"/>
      <c r="F63" s="361"/>
      <c r="G63" s="360"/>
      <c r="H63" s="361"/>
      <c r="I63" s="361"/>
      <c r="J63" s="362"/>
      <c r="K63" s="362"/>
      <c r="L63" s="362"/>
      <c r="M63" s="362"/>
      <c r="R63" s="361"/>
    </row>
    <row r="64" spans="5:18" ht="18" customHeight="1">
      <c r="E64" s="361"/>
      <c r="F64" s="361"/>
      <c r="G64" s="360"/>
      <c r="H64" s="361"/>
      <c r="I64" s="361"/>
      <c r="J64" s="362"/>
      <c r="K64" s="362"/>
      <c r="L64" s="362"/>
      <c r="M64" s="362"/>
      <c r="R64" s="361"/>
    </row>
    <row r="65" spans="5:18" ht="18" customHeight="1">
      <c r="E65" s="361"/>
      <c r="F65" s="361"/>
      <c r="G65" s="360"/>
      <c r="H65" s="361"/>
      <c r="I65" s="361"/>
      <c r="J65" s="362"/>
      <c r="K65" s="362"/>
      <c r="L65" s="362"/>
      <c r="M65" s="362"/>
      <c r="R65" s="361"/>
    </row>
    <row r="66" spans="5:18" ht="18" customHeight="1">
      <c r="E66" s="361"/>
      <c r="F66" s="361"/>
      <c r="G66" s="360"/>
      <c r="H66" s="361"/>
      <c r="I66" s="361"/>
      <c r="J66" s="362"/>
      <c r="K66" s="362"/>
      <c r="L66" s="362"/>
      <c r="M66" s="362"/>
      <c r="R66" s="361"/>
    </row>
    <row r="67" spans="5:18" ht="18" customHeight="1">
      <c r="E67" s="361"/>
      <c r="F67" s="361"/>
      <c r="G67" s="360"/>
      <c r="H67" s="361"/>
      <c r="I67" s="361"/>
      <c r="J67" s="362"/>
      <c r="K67" s="362"/>
      <c r="L67" s="362"/>
      <c r="M67" s="362"/>
      <c r="R67" s="361"/>
    </row>
    <row r="68" spans="5:18" ht="18" customHeight="1">
      <c r="E68" s="361"/>
      <c r="F68" s="361"/>
      <c r="G68" s="360"/>
      <c r="H68" s="361"/>
      <c r="I68" s="361"/>
      <c r="J68" s="362"/>
      <c r="K68" s="362"/>
      <c r="L68" s="362"/>
      <c r="M68" s="362"/>
      <c r="R68" s="361"/>
    </row>
    <row r="69" spans="5:18" ht="18" customHeight="1">
      <c r="E69" s="361"/>
      <c r="F69" s="361"/>
      <c r="G69" s="360"/>
      <c r="H69" s="361"/>
      <c r="I69" s="361"/>
      <c r="J69" s="362"/>
      <c r="K69" s="362"/>
      <c r="L69" s="362"/>
      <c r="M69" s="362"/>
      <c r="R69" s="361"/>
    </row>
    <row r="70" spans="5:18" ht="18" customHeight="1">
      <c r="E70" s="361"/>
      <c r="F70" s="361"/>
      <c r="G70" s="360"/>
      <c r="H70" s="361"/>
      <c r="I70" s="361"/>
      <c r="J70" s="362"/>
      <c r="K70" s="362"/>
      <c r="L70" s="362"/>
      <c r="M70" s="362"/>
      <c r="R70" s="361"/>
    </row>
    <row r="71" spans="5:18" ht="18" customHeight="1">
      <c r="E71" s="361"/>
      <c r="F71" s="361"/>
      <c r="G71" s="360"/>
      <c r="H71" s="361"/>
      <c r="I71" s="361"/>
      <c r="J71" s="362"/>
      <c r="K71" s="362"/>
      <c r="L71" s="362"/>
      <c r="M71" s="362"/>
      <c r="R71" s="361"/>
    </row>
    <row r="72" spans="5:18" ht="18" customHeight="1">
      <c r="E72" s="361"/>
      <c r="F72" s="361"/>
      <c r="G72" s="360"/>
      <c r="H72" s="361"/>
      <c r="I72" s="361"/>
      <c r="J72" s="362"/>
      <c r="K72" s="362"/>
      <c r="L72" s="362"/>
      <c r="M72" s="362"/>
      <c r="R72" s="361"/>
    </row>
    <row r="73" spans="5:18" ht="18" customHeight="1">
      <c r="E73" s="361"/>
      <c r="F73" s="361"/>
      <c r="G73" s="360"/>
      <c r="H73" s="361"/>
      <c r="I73" s="361"/>
      <c r="J73" s="362"/>
      <c r="K73" s="362"/>
      <c r="L73" s="362"/>
      <c r="M73" s="362"/>
      <c r="R73" s="361"/>
    </row>
    <row r="74" spans="5:18" ht="18" customHeight="1">
      <c r="E74" s="361"/>
      <c r="F74" s="361"/>
      <c r="G74" s="360"/>
      <c r="H74" s="361"/>
      <c r="I74" s="361"/>
      <c r="J74" s="362"/>
      <c r="K74" s="362"/>
      <c r="L74" s="362"/>
      <c r="M74" s="362"/>
      <c r="R74" s="361"/>
    </row>
    <row r="75" spans="5:18" ht="18" customHeight="1">
      <c r="E75" s="361"/>
      <c r="F75" s="361"/>
      <c r="H75" s="361"/>
      <c r="I75" s="361"/>
      <c r="R75" s="361"/>
    </row>
    <row r="76" spans="5:18" ht="18" customHeight="1">
      <c r="E76" s="361"/>
      <c r="F76" s="361"/>
      <c r="H76" s="361"/>
      <c r="I76" s="361"/>
      <c r="R76" s="361"/>
    </row>
    <row r="77" spans="5:18" ht="18" customHeight="1">
      <c r="E77" s="361"/>
      <c r="F77" s="361"/>
      <c r="H77" s="361"/>
      <c r="I77" s="361"/>
      <c r="R77" s="361"/>
    </row>
    <row r="78" spans="5:18" ht="18" customHeight="1">
      <c r="E78" s="361"/>
      <c r="F78" s="361"/>
      <c r="H78" s="361"/>
      <c r="I78" s="361"/>
      <c r="R78" s="361"/>
    </row>
    <row r="79" spans="5:18" ht="18" customHeight="1">
      <c r="E79" s="361"/>
      <c r="F79" s="361"/>
      <c r="H79" s="361"/>
      <c r="I79" s="361"/>
      <c r="R79" s="361"/>
    </row>
    <row r="80" spans="5:18" ht="18" customHeight="1">
      <c r="E80" s="361"/>
      <c r="F80" s="361"/>
      <c r="H80" s="361"/>
      <c r="I80" s="361"/>
      <c r="R80" s="361"/>
    </row>
    <row r="81" spans="5:18" ht="18" customHeight="1">
      <c r="E81" s="361"/>
      <c r="F81" s="361"/>
      <c r="H81" s="361"/>
      <c r="I81" s="361"/>
      <c r="R81" s="361"/>
    </row>
    <row r="82" spans="5:18" ht="18" customHeight="1">
      <c r="E82" s="361"/>
      <c r="F82" s="361"/>
      <c r="H82" s="361"/>
      <c r="I82" s="361"/>
      <c r="R82" s="361"/>
    </row>
    <row r="83" spans="5:18" ht="18" customHeight="1">
      <c r="E83" s="361"/>
      <c r="F83" s="361"/>
      <c r="I83" s="361"/>
      <c r="R83" s="361"/>
    </row>
    <row r="84" spans="5:18" ht="18" customHeight="1">
      <c r="E84" s="361"/>
      <c r="F84" s="361"/>
      <c r="I84" s="361"/>
      <c r="R84" s="361"/>
    </row>
    <row r="85" spans="5:18" ht="18" customHeight="1">
      <c r="E85" s="361"/>
      <c r="F85" s="361"/>
      <c r="I85" s="361"/>
      <c r="R85" s="361"/>
    </row>
    <row r="86" spans="5:18" ht="18" customHeight="1">
      <c r="E86" s="361"/>
      <c r="F86" s="361"/>
      <c r="I86" s="361"/>
      <c r="R86" s="361"/>
    </row>
    <row r="87" spans="5:18" ht="18" customHeight="1">
      <c r="E87" s="361"/>
      <c r="F87" s="361"/>
      <c r="I87" s="361"/>
      <c r="R87" s="361"/>
    </row>
    <row r="88" spans="5:18" ht="18" customHeight="1">
      <c r="E88" s="361"/>
      <c r="F88" s="361"/>
      <c r="I88" s="361"/>
      <c r="R88" s="361"/>
    </row>
    <row r="89" spans="5:18" ht="18" customHeight="1">
      <c r="E89" s="361"/>
      <c r="F89" s="361"/>
      <c r="I89" s="361"/>
      <c r="R89" s="361"/>
    </row>
    <row r="90" spans="5:18" ht="18" customHeight="1">
      <c r="E90" s="361"/>
      <c r="F90" s="361"/>
      <c r="I90" s="361"/>
      <c r="R90" s="361"/>
    </row>
    <row r="91" spans="5:18" ht="18" customHeight="1">
      <c r="E91" s="361"/>
      <c r="F91" s="361"/>
      <c r="I91" s="361"/>
      <c r="R91" s="361"/>
    </row>
    <row r="92" spans="5:18" ht="18" customHeight="1">
      <c r="E92" s="361"/>
      <c r="F92" s="361"/>
      <c r="I92" s="361"/>
      <c r="R92" s="361"/>
    </row>
    <row r="93" spans="5:18" ht="18" customHeight="1">
      <c r="E93" s="361"/>
      <c r="F93" s="361"/>
      <c r="I93" s="361"/>
      <c r="R93" s="361"/>
    </row>
    <row r="94" spans="5:18" ht="18" customHeight="1">
      <c r="E94" s="361"/>
      <c r="F94" s="361"/>
      <c r="I94" s="361"/>
      <c r="R94" s="361"/>
    </row>
    <row r="95" spans="5:18" ht="18" customHeight="1">
      <c r="E95" s="361"/>
      <c r="F95" s="361"/>
      <c r="I95" s="361"/>
      <c r="R95" s="361"/>
    </row>
    <row r="96" spans="5:18" ht="18" customHeight="1">
      <c r="E96" s="361"/>
      <c r="F96" s="361"/>
      <c r="I96" s="361"/>
      <c r="R96" s="361"/>
    </row>
    <row r="97" spans="5:18" ht="18" customHeight="1">
      <c r="E97" s="361"/>
      <c r="F97" s="361"/>
      <c r="I97" s="361"/>
      <c r="R97" s="361"/>
    </row>
    <row r="98" spans="5:18" ht="18" customHeight="1">
      <c r="E98" s="361"/>
      <c r="F98" s="361"/>
      <c r="I98" s="361"/>
      <c r="R98" s="361"/>
    </row>
    <row r="99" spans="5:18" ht="18" customHeight="1">
      <c r="E99" s="361"/>
      <c r="F99" s="361"/>
      <c r="I99" s="361"/>
      <c r="R99" s="361"/>
    </row>
    <row r="100" spans="5:18" ht="18" customHeight="1">
      <c r="E100" s="361"/>
      <c r="F100" s="361"/>
      <c r="I100" s="361"/>
      <c r="R100" s="361"/>
    </row>
    <row r="101" spans="5:18" ht="18" customHeight="1">
      <c r="E101" s="361"/>
      <c r="F101" s="361"/>
      <c r="I101" s="361"/>
      <c r="R101" s="361"/>
    </row>
    <row r="102" spans="5:18" ht="18" customHeight="1">
      <c r="E102" s="361"/>
      <c r="F102" s="361"/>
      <c r="I102" s="361"/>
      <c r="R102" s="361"/>
    </row>
    <row r="103" spans="5:18" ht="18" customHeight="1">
      <c r="E103" s="361"/>
      <c r="F103" s="361"/>
      <c r="I103" s="361"/>
      <c r="R103" s="361"/>
    </row>
    <row r="104" spans="5:18" ht="18" customHeight="1">
      <c r="E104" s="361"/>
      <c r="F104" s="361"/>
      <c r="I104" s="361"/>
      <c r="R104" s="361"/>
    </row>
    <row r="105" spans="5:18" ht="18" customHeight="1">
      <c r="E105" s="361"/>
      <c r="F105" s="361"/>
      <c r="I105" s="361"/>
      <c r="R105" s="361"/>
    </row>
    <row r="106" spans="5:18" ht="18" customHeight="1">
      <c r="E106" s="361"/>
      <c r="F106" s="361"/>
      <c r="I106" s="361"/>
      <c r="R106" s="361"/>
    </row>
    <row r="107" spans="5:18" ht="18" customHeight="1">
      <c r="E107" s="361"/>
      <c r="F107" s="361"/>
      <c r="I107" s="361"/>
      <c r="R107" s="361"/>
    </row>
    <row r="108" spans="5:18" ht="18" customHeight="1">
      <c r="E108" s="361"/>
      <c r="F108" s="361"/>
      <c r="I108" s="361"/>
      <c r="R108" s="361"/>
    </row>
    <row r="109" spans="5:18" ht="18" customHeight="1">
      <c r="E109" s="361"/>
      <c r="F109" s="361"/>
      <c r="I109" s="361"/>
      <c r="R109" s="361"/>
    </row>
    <row r="110" spans="5:18" ht="18" customHeight="1">
      <c r="E110" s="361"/>
      <c r="F110" s="361"/>
      <c r="I110" s="361"/>
      <c r="R110" s="361"/>
    </row>
    <row r="111" spans="5:18" ht="18" customHeight="1">
      <c r="E111" s="361"/>
      <c r="F111" s="361"/>
      <c r="I111" s="361"/>
      <c r="R111" s="361"/>
    </row>
    <row r="112" spans="5:18" ht="18" customHeight="1">
      <c r="E112" s="361"/>
      <c r="F112" s="361"/>
      <c r="I112" s="361"/>
      <c r="R112" s="361"/>
    </row>
    <row r="113" spans="5:18" ht="18" customHeight="1">
      <c r="E113" s="361"/>
      <c r="F113" s="361"/>
      <c r="I113" s="361"/>
      <c r="R113" s="361"/>
    </row>
    <row r="114" spans="5:18" ht="18" customHeight="1">
      <c r="E114" s="361"/>
      <c r="F114" s="361"/>
      <c r="I114" s="361"/>
      <c r="R114" s="361"/>
    </row>
    <row r="115" spans="5:18" ht="18" customHeight="1">
      <c r="E115" s="361"/>
      <c r="F115" s="361"/>
      <c r="I115" s="361"/>
      <c r="R115" s="361"/>
    </row>
    <row r="116" spans="5:18" ht="18" customHeight="1">
      <c r="E116" s="361"/>
      <c r="F116" s="361"/>
      <c r="I116" s="361"/>
      <c r="R116" s="361"/>
    </row>
    <row r="117" spans="5:18" ht="18" customHeight="1">
      <c r="E117" s="361"/>
      <c r="F117" s="361"/>
      <c r="I117" s="361"/>
      <c r="R117" s="361"/>
    </row>
    <row r="118" spans="5:18" ht="18" customHeight="1">
      <c r="E118" s="361"/>
      <c r="F118" s="361"/>
      <c r="I118" s="361"/>
      <c r="R118" s="361"/>
    </row>
    <row r="119" spans="5:18" ht="18" customHeight="1">
      <c r="E119" s="361"/>
      <c r="F119" s="361"/>
      <c r="I119" s="361"/>
      <c r="R119" s="361"/>
    </row>
    <row r="120" spans="5:18" ht="18" customHeight="1">
      <c r="E120" s="361"/>
      <c r="F120" s="361"/>
      <c r="I120" s="361"/>
      <c r="R120" s="361"/>
    </row>
    <row r="121" spans="5:18" ht="18" customHeight="1">
      <c r="E121" s="361"/>
      <c r="F121" s="361"/>
      <c r="I121" s="361"/>
      <c r="R121" s="361"/>
    </row>
    <row r="122" spans="5:18" ht="18" customHeight="1">
      <c r="E122" s="361"/>
      <c r="F122" s="361"/>
      <c r="I122" s="361"/>
      <c r="R122" s="361"/>
    </row>
    <row r="123" spans="5:18" ht="18" customHeight="1">
      <c r="E123" s="361"/>
      <c r="F123" s="361"/>
      <c r="I123" s="361"/>
      <c r="R123" s="361"/>
    </row>
    <row r="124" spans="5:18" ht="18" customHeight="1">
      <c r="E124" s="361"/>
      <c r="F124" s="361"/>
      <c r="I124" s="361"/>
      <c r="R124" s="361"/>
    </row>
    <row r="125" spans="5:18" ht="18" customHeight="1">
      <c r="E125" s="361"/>
      <c r="F125" s="361"/>
      <c r="I125" s="361"/>
      <c r="R125" s="361"/>
    </row>
    <row r="126" spans="5:18" ht="18" customHeight="1">
      <c r="E126" s="361"/>
      <c r="F126" s="361"/>
      <c r="I126" s="361"/>
      <c r="R126" s="361"/>
    </row>
    <row r="127" spans="5:18" ht="18" customHeight="1">
      <c r="E127" s="361"/>
      <c r="F127" s="361"/>
      <c r="I127" s="361"/>
      <c r="R127" s="361"/>
    </row>
    <row r="128" spans="5:18" ht="18" customHeight="1">
      <c r="E128" s="361"/>
      <c r="F128" s="361"/>
      <c r="I128" s="361"/>
      <c r="R128" s="361"/>
    </row>
    <row r="129" spans="5:18" ht="18" customHeight="1">
      <c r="E129" s="361"/>
      <c r="F129" s="361"/>
      <c r="I129" s="361"/>
      <c r="R129" s="361"/>
    </row>
    <row r="130" spans="5:18" ht="18" customHeight="1">
      <c r="E130" s="361"/>
      <c r="F130" s="361"/>
      <c r="I130" s="361"/>
      <c r="R130" s="361"/>
    </row>
    <row r="131" spans="5:18" ht="18" customHeight="1">
      <c r="E131" s="361"/>
      <c r="F131" s="361"/>
      <c r="I131" s="361"/>
      <c r="R131" s="361"/>
    </row>
    <row r="132" spans="5:18" ht="18" customHeight="1">
      <c r="E132" s="361"/>
      <c r="F132" s="361"/>
      <c r="I132" s="361"/>
      <c r="R132" s="361"/>
    </row>
    <row r="133" spans="5:18" ht="18" customHeight="1">
      <c r="E133" s="361"/>
      <c r="F133" s="361"/>
      <c r="I133" s="361"/>
      <c r="R133" s="361"/>
    </row>
    <row r="134" spans="5:18" ht="18" customHeight="1">
      <c r="E134" s="361"/>
      <c r="F134" s="361"/>
      <c r="I134" s="361"/>
      <c r="R134" s="361"/>
    </row>
    <row r="135" spans="5:18" ht="18" customHeight="1">
      <c r="E135" s="361"/>
      <c r="F135" s="361"/>
      <c r="I135" s="361"/>
      <c r="R135" s="361"/>
    </row>
    <row r="136" spans="5:18" ht="18" customHeight="1">
      <c r="E136" s="361"/>
      <c r="F136" s="361"/>
      <c r="I136" s="361"/>
      <c r="R136" s="361"/>
    </row>
    <row r="137" spans="5:18" ht="18" customHeight="1">
      <c r="E137" s="361"/>
      <c r="F137" s="361"/>
      <c r="I137" s="361"/>
      <c r="R137" s="361"/>
    </row>
    <row r="138" spans="5:18" ht="18" customHeight="1">
      <c r="E138" s="361"/>
      <c r="F138" s="361"/>
      <c r="I138" s="361"/>
      <c r="R138" s="361"/>
    </row>
    <row r="139" spans="5:18" ht="18" customHeight="1">
      <c r="E139" s="361"/>
      <c r="F139" s="361"/>
      <c r="I139" s="361"/>
      <c r="R139" s="361"/>
    </row>
    <row r="140" spans="5:18" ht="18" customHeight="1">
      <c r="E140" s="361"/>
      <c r="F140" s="361"/>
      <c r="I140" s="361"/>
      <c r="R140" s="361"/>
    </row>
    <row r="141" spans="5:18" ht="18" customHeight="1">
      <c r="E141" s="361"/>
      <c r="F141" s="361"/>
      <c r="I141" s="361"/>
      <c r="R141" s="361"/>
    </row>
    <row r="142" spans="5:18" ht="18" customHeight="1">
      <c r="E142" s="361"/>
      <c r="F142" s="361"/>
      <c r="I142" s="361"/>
      <c r="R142" s="361"/>
    </row>
    <row r="143" spans="5:18" ht="18" customHeight="1">
      <c r="E143" s="361"/>
      <c r="F143" s="361"/>
      <c r="I143" s="361"/>
      <c r="R143" s="361"/>
    </row>
    <row r="144" spans="5:18" ht="18" customHeight="1">
      <c r="E144" s="361"/>
      <c r="F144" s="361"/>
      <c r="I144" s="361"/>
      <c r="R144" s="361"/>
    </row>
    <row r="145" spans="5:18" ht="18" customHeight="1">
      <c r="E145" s="361"/>
      <c r="F145" s="361"/>
      <c r="I145" s="361"/>
      <c r="R145" s="361"/>
    </row>
    <row r="146" spans="5:18" ht="18" customHeight="1">
      <c r="E146" s="361"/>
      <c r="F146" s="361"/>
      <c r="I146" s="361"/>
      <c r="R146" s="361"/>
    </row>
    <row r="147" spans="5:18" ht="18" customHeight="1">
      <c r="E147" s="361"/>
      <c r="F147" s="361"/>
      <c r="I147" s="361"/>
      <c r="R147" s="361"/>
    </row>
    <row r="148" spans="5:18" ht="18" customHeight="1">
      <c r="E148" s="361"/>
      <c r="F148" s="361"/>
      <c r="I148" s="361"/>
      <c r="R148" s="361"/>
    </row>
    <row r="149" spans="5:18" ht="18" customHeight="1">
      <c r="E149" s="361"/>
      <c r="F149" s="361"/>
      <c r="I149" s="361"/>
      <c r="R149" s="361"/>
    </row>
    <row r="150" spans="5:18" ht="18" customHeight="1">
      <c r="E150" s="361"/>
      <c r="F150" s="361"/>
      <c r="I150" s="361"/>
      <c r="R150" s="361"/>
    </row>
    <row r="151" spans="5:18" ht="18" customHeight="1">
      <c r="E151" s="361"/>
      <c r="F151" s="361"/>
      <c r="I151" s="361"/>
      <c r="R151" s="361"/>
    </row>
    <row r="152" spans="5:18" ht="18" customHeight="1">
      <c r="E152" s="361"/>
      <c r="F152" s="361"/>
      <c r="I152" s="361"/>
      <c r="R152" s="361"/>
    </row>
    <row r="153" spans="5:18" ht="18" customHeight="1">
      <c r="E153" s="361"/>
      <c r="F153" s="361"/>
      <c r="I153" s="361"/>
      <c r="R153" s="361"/>
    </row>
    <row r="154" spans="5:18" ht="18" customHeight="1">
      <c r="E154" s="361"/>
      <c r="F154" s="361"/>
      <c r="I154" s="361"/>
      <c r="R154" s="361"/>
    </row>
    <row r="155" spans="5:18" ht="18" customHeight="1">
      <c r="E155" s="361"/>
      <c r="F155" s="361"/>
      <c r="I155" s="361"/>
      <c r="R155" s="361"/>
    </row>
    <row r="156" spans="5:18" ht="18" customHeight="1">
      <c r="E156" s="361"/>
      <c r="F156" s="361"/>
      <c r="I156" s="361"/>
      <c r="R156" s="361"/>
    </row>
    <row r="157" spans="5:18" ht="18" customHeight="1">
      <c r="E157" s="361"/>
      <c r="F157" s="361"/>
      <c r="I157" s="361"/>
      <c r="R157" s="361"/>
    </row>
    <row r="158" spans="5:18" ht="18" customHeight="1">
      <c r="E158" s="361"/>
      <c r="F158" s="361"/>
      <c r="I158" s="361"/>
      <c r="R158" s="361"/>
    </row>
    <row r="159" spans="5:18" ht="18" customHeight="1">
      <c r="E159" s="361"/>
      <c r="F159" s="361"/>
      <c r="I159" s="361"/>
      <c r="R159" s="361"/>
    </row>
    <row r="160" spans="5:18" ht="18" customHeight="1">
      <c r="E160" s="361"/>
      <c r="F160" s="361"/>
      <c r="I160" s="361"/>
      <c r="R160" s="361"/>
    </row>
    <row r="161" spans="5:18" ht="18" customHeight="1">
      <c r="E161" s="361"/>
      <c r="F161" s="361"/>
      <c r="I161" s="361"/>
      <c r="R161" s="361"/>
    </row>
    <row r="162" spans="5:18" ht="18" customHeight="1">
      <c r="E162" s="361"/>
      <c r="F162" s="361"/>
      <c r="I162" s="361"/>
      <c r="R162" s="361"/>
    </row>
    <row r="163" spans="5:18" ht="18" customHeight="1">
      <c r="E163" s="361"/>
      <c r="F163" s="361"/>
      <c r="I163" s="361"/>
      <c r="R163" s="361"/>
    </row>
    <row r="164" spans="5:18" ht="18" customHeight="1">
      <c r="E164" s="361"/>
      <c r="F164" s="361"/>
      <c r="I164" s="361"/>
      <c r="R164" s="361"/>
    </row>
    <row r="165" spans="5:18" ht="18" customHeight="1">
      <c r="E165" s="361"/>
      <c r="F165" s="361"/>
      <c r="I165" s="361"/>
      <c r="R165" s="361"/>
    </row>
    <row r="166" spans="5:18" ht="18" customHeight="1">
      <c r="E166" s="361"/>
      <c r="F166" s="361"/>
      <c r="I166" s="361"/>
      <c r="R166" s="361"/>
    </row>
    <row r="167" spans="5:18" ht="18" customHeight="1">
      <c r="E167" s="361"/>
      <c r="F167" s="361"/>
      <c r="I167" s="361"/>
      <c r="R167" s="361"/>
    </row>
    <row r="168" spans="5:18" ht="18" customHeight="1">
      <c r="E168" s="361"/>
      <c r="F168" s="361"/>
      <c r="I168" s="361"/>
      <c r="R168" s="361"/>
    </row>
    <row r="169" spans="5:18" ht="18" customHeight="1">
      <c r="E169" s="361"/>
      <c r="F169" s="361"/>
      <c r="I169" s="361"/>
      <c r="R169" s="361"/>
    </row>
    <row r="170" spans="5:18" ht="18" customHeight="1">
      <c r="E170" s="361"/>
      <c r="F170" s="361"/>
      <c r="I170" s="361"/>
      <c r="R170" s="361"/>
    </row>
    <row r="171" spans="5:18" ht="18" customHeight="1">
      <c r="E171" s="361"/>
      <c r="F171" s="361"/>
      <c r="I171" s="361"/>
      <c r="R171" s="361"/>
    </row>
    <row r="172" spans="5:18" ht="18" customHeight="1">
      <c r="E172" s="361"/>
      <c r="F172" s="361"/>
      <c r="I172" s="361"/>
      <c r="R172" s="361"/>
    </row>
    <row r="173" spans="5:18" ht="18" customHeight="1">
      <c r="E173" s="361"/>
      <c r="F173" s="361"/>
      <c r="I173" s="361"/>
      <c r="R173" s="361"/>
    </row>
    <row r="174" spans="5:18" ht="18" customHeight="1">
      <c r="E174" s="361"/>
      <c r="F174" s="361"/>
      <c r="I174" s="361"/>
      <c r="R174" s="361"/>
    </row>
    <row r="175" spans="5:18" ht="18" customHeight="1">
      <c r="E175" s="361"/>
      <c r="F175" s="361"/>
      <c r="I175" s="361"/>
      <c r="R175" s="361"/>
    </row>
  </sheetData>
  <mergeCells count="20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2"/>
  <headerFooter alignWithMargins="0">
    <oddHeader>&amp;R&amp;"Times New Roman,Normalny"&amp;12Załącznik Nr 18 do projektu uchwały Nr .. Rady Miejskiej w Barlinku z dnia ........grudnia 2010</oddHeader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defaultGridColor="0" view="pageBreakPreview" zoomScaleSheetLayoutView="100" colorId="15" workbookViewId="0" topLeftCell="A1">
      <selection activeCell="A21" sqref="A21"/>
    </sheetView>
  </sheetViews>
  <sheetFormatPr defaultColWidth="12.00390625" defaultRowHeight="12.75"/>
  <cols>
    <col min="1" max="1" width="7.375" style="24" customWidth="1"/>
    <col min="2" max="2" width="60.75390625" style="25" customWidth="1"/>
    <col min="3" max="3" width="13.125" style="25" customWidth="1"/>
    <col min="4" max="4" width="14.75390625" style="25" customWidth="1"/>
    <col min="5" max="5" width="12.00390625" style="26" customWidth="1"/>
    <col min="6" max="16384" width="11.625" style="27" customWidth="1"/>
  </cols>
  <sheetData>
    <row r="1" spans="1:5" ht="16.5" customHeight="1">
      <c r="A1" s="28" t="s">
        <v>65</v>
      </c>
      <c r="B1" s="28"/>
      <c r="C1" s="28"/>
      <c r="D1" s="28"/>
      <c r="E1" s="28"/>
    </row>
    <row r="2" spans="1:5" ht="18.75">
      <c r="A2" s="28"/>
      <c r="B2" s="28"/>
      <c r="C2" s="28"/>
      <c r="D2" s="28"/>
      <c r="E2" s="28"/>
    </row>
    <row r="3" spans="1:5" s="31" customFormat="1" ht="44.25" customHeight="1">
      <c r="A3" s="29" t="s">
        <v>66</v>
      </c>
      <c r="B3" s="29" t="s">
        <v>67</v>
      </c>
      <c r="C3" s="30" t="s">
        <v>68</v>
      </c>
      <c r="D3" s="30" t="s">
        <v>69</v>
      </c>
      <c r="E3" s="30" t="s">
        <v>70</v>
      </c>
    </row>
    <row r="4" spans="1:5" ht="16.5">
      <c r="A4" s="32" t="str">
        <f>'zał 2'!A6</f>
        <v>020</v>
      </c>
      <c r="B4" s="33" t="str">
        <f>'zał 2'!D6</f>
        <v>Leśnictwo</v>
      </c>
      <c r="C4" s="33">
        <f>D4+E4</f>
        <v>5331</v>
      </c>
      <c r="D4" s="33">
        <f>'zał 2'!F6</f>
        <v>5331</v>
      </c>
      <c r="E4" s="33">
        <f>'zał 2'!H6</f>
        <v>0</v>
      </c>
    </row>
    <row r="5" spans="1:5" ht="16.5">
      <c r="A5" s="32" t="s">
        <v>71</v>
      </c>
      <c r="B5" s="33" t="str">
        <f>'zał 2'!D9</f>
        <v>Wytwarzanie i zaopatrzenie w energię elektryczną, gaz i wodę </v>
      </c>
      <c r="C5" s="33">
        <f>D5+E5</f>
        <v>676200</v>
      </c>
      <c r="D5" s="33">
        <f>'zał 2'!F9</f>
        <v>0</v>
      </c>
      <c r="E5" s="33">
        <f>'zał 2'!H9</f>
        <v>676200</v>
      </c>
    </row>
    <row r="6" spans="1:5" ht="16.5">
      <c r="A6" s="32" t="s">
        <v>72</v>
      </c>
      <c r="B6" s="33" t="str">
        <f>'zał 2'!D12</f>
        <v>Transport  i  łączność</v>
      </c>
      <c r="C6" s="33">
        <f>D6+E6</f>
        <v>1908413</v>
      </c>
      <c r="D6" s="33">
        <f>'zał 2'!F12</f>
        <v>0</v>
      </c>
      <c r="E6" s="33">
        <f>'zał 2'!H12</f>
        <v>1908413</v>
      </c>
    </row>
    <row r="7" spans="1:5" ht="16.5">
      <c r="A7" s="32" t="s">
        <v>73</v>
      </c>
      <c r="B7" s="33" t="str">
        <f>'zał 2'!D16</f>
        <v>Gospodarka  mieszkaniowa</v>
      </c>
      <c r="C7" s="33">
        <f>D7+E7</f>
        <v>1646500</v>
      </c>
      <c r="D7" s="33">
        <f>'zał 2'!F16</f>
        <v>373500</v>
      </c>
      <c r="E7" s="33">
        <f>'zał 2'!H16</f>
        <v>1273000</v>
      </c>
    </row>
    <row r="8" spans="1:5" ht="16.5">
      <c r="A8" s="32" t="s">
        <v>74</v>
      </c>
      <c r="B8" s="33" t="str">
        <f>'zał 2'!D24</f>
        <v>Działalność usługowa </v>
      </c>
      <c r="C8" s="33">
        <f>D8+E8</f>
        <v>47500</v>
      </c>
      <c r="D8" s="33">
        <f>'zał 2'!F24+'zał 4'!F8</f>
        <v>47500</v>
      </c>
      <c r="E8" s="33">
        <f>'zał 2'!H24+'zał 4'!H8</f>
        <v>0</v>
      </c>
    </row>
    <row r="9" spans="1:5" ht="16.5">
      <c r="A9" s="32" t="s">
        <v>75</v>
      </c>
      <c r="B9" s="33" t="str">
        <f>'zał 2'!D27</f>
        <v>Administracja  publiczna</v>
      </c>
      <c r="C9" s="33">
        <f>D9+E9</f>
        <v>157400</v>
      </c>
      <c r="D9" s="33">
        <f>'zał 2'!F27+'zał 3'!F6</f>
        <v>157400</v>
      </c>
      <c r="E9" s="33">
        <f>'zał 2'!H27+'zał 3'!H6</f>
        <v>0</v>
      </c>
    </row>
    <row r="10" spans="1:5" ht="29.25">
      <c r="A10" s="32" t="s">
        <v>76</v>
      </c>
      <c r="B10" s="33" t="str">
        <f>'zał 3'!D9</f>
        <v>Urzędy naczelnych organów władzy  państwowej, kontroli i ochrony prawa oraz sądownictwa  </v>
      </c>
      <c r="C10" s="33">
        <f>D10+E10</f>
        <v>3270</v>
      </c>
      <c r="D10" s="33">
        <f>'zał 3'!F9</f>
        <v>3270</v>
      </c>
      <c r="E10" s="33">
        <f>'zał 3'!H9</f>
        <v>0</v>
      </c>
    </row>
    <row r="11" spans="1:5" ht="43.5">
      <c r="A11" s="32" t="s">
        <v>77</v>
      </c>
      <c r="B11" s="33" t="str">
        <f>'zał 2'!D32</f>
        <v>Dochody  od  osób  prawnych, od osób  fizycznych i  od  innych  jednostek  nieposiadających  osobowości  prawnej  oraz  wydatki  związane  z  ich  poborem   </v>
      </c>
      <c r="C11" s="33">
        <f>D11+E11</f>
        <v>18910671</v>
      </c>
      <c r="D11" s="33">
        <f>'zał 2'!F32</f>
        <v>18910671</v>
      </c>
      <c r="E11" s="33">
        <f>'zał 2'!H32</f>
        <v>0</v>
      </c>
    </row>
    <row r="12" spans="1:5" ht="16.5">
      <c r="A12" s="32" t="s">
        <v>78</v>
      </c>
      <c r="B12" s="33" t="str">
        <f>'zał 2'!D68</f>
        <v>Różne  rozliczenia</v>
      </c>
      <c r="C12" s="33">
        <f>D12+E12</f>
        <v>13366281</v>
      </c>
      <c r="D12" s="33">
        <f>'zał 2'!F68</f>
        <v>13366281</v>
      </c>
      <c r="E12" s="33">
        <f>'zał 2'!H68</f>
        <v>0</v>
      </c>
    </row>
    <row r="13" spans="1:5" ht="16.5">
      <c r="A13" s="32" t="s">
        <v>79</v>
      </c>
      <c r="B13" s="33" t="str">
        <f>'zał 2'!D75</f>
        <v>Oświata  i  wychowanie</v>
      </c>
      <c r="C13" s="33">
        <f>D13+E13</f>
        <v>2390275.46</v>
      </c>
      <c r="D13" s="33">
        <f>'zał 2'!F75</f>
        <v>2390275.46</v>
      </c>
      <c r="E13" s="33">
        <f>'zał 2'!H75</f>
        <v>0</v>
      </c>
    </row>
    <row r="14" spans="1:5" ht="16.5">
      <c r="A14" s="32" t="s">
        <v>80</v>
      </c>
      <c r="B14" s="33" t="str">
        <f>'zał 2'!D100</f>
        <v>Pomoc  społeczna</v>
      </c>
      <c r="C14" s="33">
        <f>D14+E14</f>
        <v>7180600</v>
      </c>
      <c r="D14" s="33">
        <f>'zał 2'!F100+'zał 3'!F12</f>
        <v>7180600</v>
      </c>
      <c r="E14" s="33">
        <f>'zał 2'!H100+'zał 3'!H12</f>
        <v>0</v>
      </c>
    </row>
    <row r="15" spans="1:5" ht="16.5">
      <c r="A15" s="32">
        <v>853</v>
      </c>
      <c r="B15" s="33" t="str">
        <f>'zał 2'!D118</f>
        <v>Pozostałe zadania z zakresu polityki społecznej</v>
      </c>
      <c r="C15" s="33">
        <f>'zał 2'!E118</f>
        <v>186100</v>
      </c>
      <c r="D15" s="33">
        <f>'zał 2'!F118</f>
        <v>186100</v>
      </c>
      <c r="E15" s="33">
        <f>'zał 2'!H118</f>
        <v>0</v>
      </c>
    </row>
    <row r="16" spans="1:5" ht="16.5">
      <c r="A16" s="32" t="s">
        <v>81</v>
      </c>
      <c r="B16" s="33" t="str">
        <f>'zał 2'!D122</f>
        <v>Gospodarka komunalna i ochrona  środowiska</v>
      </c>
      <c r="C16" s="33">
        <f>D16+E16</f>
        <v>144500</v>
      </c>
      <c r="D16" s="33">
        <f>'zał 2'!F122</f>
        <v>144500</v>
      </c>
      <c r="E16" s="33">
        <f>'zał 2'!H122</f>
        <v>0</v>
      </c>
    </row>
    <row r="17" spans="1:5" ht="16.5">
      <c r="A17" s="32" t="s">
        <v>82</v>
      </c>
      <c r="B17" s="33" t="str">
        <f>'zał 2'!D129</f>
        <v>Kultura  i  ochrona  dziedzictwa  narodowego </v>
      </c>
      <c r="C17" s="33">
        <f>D17+E17</f>
        <v>7000</v>
      </c>
      <c r="D17" s="33">
        <f>'zał 2'!F129</f>
        <v>7000</v>
      </c>
      <c r="E17" s="33">
        <f>'zał 2'!H129</f>
        <v>0</v>
      </c>
    </row>
    <row r="18" spans="1:5" ht="16.5">
      <c r="A18" s="32" t="s">
        <v>83</v>
      </c>
      <c r="B18" s="33" t="str">
        <f>'zał 2'!D132</f>
        <v>Kultura fizyczna</v>
      </c>
      <c r="C18" s="33">
        <f>D18+E18</f>
        <v>1201900</v>
      </c>
      <c r="D18" s="33">
        <f>'zał 2'!F132</f>
        <v>101900</v>
      </c>
      <c r="E18" s="33">
        <f>'zał 2'!H132</f>
        <v>1100000</v>
      </c>
    </row>
    <row r="19" spans="1:5" s="36" customFormat="1" ht="16.5" customHeight="1">
      <c r="A19" s="34" t="s">
        <v>84</v>
      </c>
      <c r="B19" s="34"/>
      <c r="C19" s="35">
        <f>SUM(C4:C18)</f>
        <v>47831941.46</v>
      </c>
      <c r="D19" s="35">
        <f>SUM(D4:D18)</f>
        <v>42874328.46</v>
      </c>
      <c r="E19" s="35">
        <f>SUM(E4:E18)</f>
        <v>4957613</v>
      </c>
    </row>
  </sheetData>
  <mergeCells count="2">
    <mergeCell ref="A1:E1"/>
    <mergeCell ref="A19:B19"/>
  </mergeCells>
  <printOptions horizontalCentered="1"/>
  <pageMargins left="0.5902777777777778" right="0.5902777777777778" top="0.9534722222222223" bottom="0.7555555555555555" header="0.5902777777777778" footer="0.5902777777777778"/>
  <pageSetup horizontalDpi="300" verticalDpi="300" orientation="portrait" paperSize="9" scale="85"/>
  <headerFooter alignWithMargins="0">
    <oddHeader>&amp;R&amp;"Times New Roman,Normalny"&amp;12Załącznik Nr 1 do projektu budżetu  Nr .. Rady Miejskiej w Barlinku z dnia ........grudnia 2010</oddHeader>
    <oddFooter>&amp;C&amp;"Times New Roman,Normalny"&amp;12Strona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175"/>
  <sheetViews>
    <sheetView showGridLines="0" defaultGridColor="0" view="pageBreakPreview" zoomScaleSheetLayoutView="100" colorId="15" workbookViewId="0" topLeftCell="A1">
      <pane ySplit="6" topLeftCell="A37" activePane="bottomLeft" state="frozen"/>
      <selection pane="topLeft" activeCell="A1" sqref="A1"/>
      <selection pane="bottomLeft" activeCell="D52" sqref="D52"/>
    </sheetView>
  </sheetViews>
  <sheetFormatPr defaultColWidth="9.00390625" defaultRowHeight="18" customHeight="1"/>
  <cols>
    <col min="1" max="1" width="5.00390625" style="334" customWidth="1"/>
    <col min="2" max="2" width="7.375" style="334" customWidth="1"/>
    <col min="3" max="3" width="6.125" style="335" customWidth="1"/>
    <col min="4" max="4" width="44.875" style="336" customWidth="1"/>
    <col min="5" max="5" width="10.875" style="335" customWidth="1"/>
    <col min="6" max="6" width="11.25390625" style="335" customWidth="1"/>
    <col min="7" max="7" width="10.25390625" style="335" customWidth="1"/>
    <col min="8" max="8" width="11.625" style="335" customWidth="1"/>
    <col min="9" max="9" width="9.50390625" style="335" customWidth="1"/>
    <col min="10" max="10" width="7.375" style="335" customWidth="1"/>
    <col min="11" max="13" width="7.75390625" style="335" customWidth="1"/>
    <col min="14" max="14" width="6.625" style="335" customWidth="1"/>
    <col min="15" max="15" width="8.125" style="335" customWidth="1"/>
    <col min="16" max="16" width="8.625" style="335" customWidth="1"/>
    <col min="17" max="17" width="9.25390625" style="335" customWidth="1"/>
    <col min="18" max="18" width="7.875" style="335" customWidth="1"/>
    <col min="19" max="40" width="9.00390625" style="335" customWidth="1"/>
  </cols>
  <sheetData>
    <row r="1" spans="1:40" ht="31.5" customHeight="1">
      <c r="A1" s="338" t="s">
        <v>476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</row>
    <row r="2" spans="1:40" ht="13.5" customHeight="1">
      <c r="A2" s="339" t="s">
        <v>66</v>
      </c>
      <c r="B2" s="339" t="s">
        <v>86</v>
      </c>
      <c r="C2" s="339" t="s">
        <v>87</v>
      </c>
      <c r="D2" s="339" t="s">
        <v>251</v>
      </c>
      <c r="E2" s="339" t="s">
        <v>252</v>
      </c>
      <c r="F2" s="340" t="s">
        <v>253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</row>
    <row r="3" spans="1:40" ht="13.5" customHeight="1">
      <c r="A3" s="339"/>
      <c r="B3" s="339"/>
      <c r="C3" s="339"/>
      <c r="D3" s="339"/>
      <c r="E3" s="339"/>
      <c r="F3" s="256" t="s">
        <v>242</v>
      </c>
      <c r="G3" s="255" t="s">
        <v>90</v>
      </c>
      <c r="H3" s="255"/>
      <c r="I3" s="255"/>
      <c r="J3" s="255"/>
      <c r="K3" s="255"/>
      <c r="L3" s="255"/>
      <c r="M3" s="255"/>
      <c r="N3" s="255"/>
      <c r="O3" s="254" t="s">
        <v>254</v>
      </c>
      <c r="P3" s="255" t="s">
        <v>90</v>
      </c>
      <c r="Q3" s="255"/>
      <c r="R3" s="255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</row>
    <row r="4" spans="1:40" ht="13.5" customHeight="1">
      <c r="A4" s="339"/>
      <c r="B4" s="339"/>
      <c r="C4" s="339"/>
      <c r="D4" s="339"/>
      <c r="E4" s="339"/>
      <c r="F4" s="256"/>
      <c r="G4" s="256" t="s">
        <v>255</v>
      </c>
      <c r="H4" s="255" t="s">
        <v>13</v>
      </c>
      <c r="I4" s="255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254"/>
      <c r="P4" s="254" t="s">
        <v>260</v>
      </c>
      <c r="Q4" s="255" t="s">
        <v>90</v>
      </c>
      <c r="R4" s="254" t="s">
        <v>261</v>
      </c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</row>
    <row r="5" spans="1:40" ht="109.5" customHeight="1">
      <c r="A5" s="339"/>
      <c r="B5" s="339"/>
      <c r="C5" s="339"/>
      <c r="D5" s="339"/>
      <c r="E5" s="339"/>
      <c r="F5" s="256"/>
      <c r="G5" s="256"/>
      <c r="H5" s="254" t="s">
        <v>262</v>
      </c>
      <c r="I5" s="254" t="s">
        <v>263</v>
      </c>
      <c r="J5" s="254"/>
      <c r="K5" s="254"/>
      <c r="L5" s="254"/>
      <c r="M5" s="254"/>
      <c r="N5" s="254"/>
      <c r="O5" s="254"/>
      <c r="P5" s="254"/>
      <c r="Q5" s="256" t="s">
        <v>264</v>
      </c>
      <c r="R5" s="254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</row>
    <row r="6" spans="1:40" ht="12" customHeight="1">
      <c r="A6" s="379">
        <v>1</v>
      </c>
      <c r="B6" s="379">
        <v>2</v>
      </c>
      <c r="C6" s="379">
        <v>3</v>
      </c>
      <c r="D6" s="379">
        <v>4</v>
      </c>
      <c r="E6" s="379">
        <v>5</v>
      </c>
      <c r="F6" s="379">
        <v>6</v>
      </c>
      <c r="G6" s="379">
        <v>7</v>
      </c>
      <c r="H6" s="379">
        <v>8</v>
      </c>
      <c r="I6" s="379">
        <v>9</v>
      </c>
      <c r="J6" s="379">
        <v>10</v>
      </c>
      <c r="K6" s="379">
        <v>11</v>
      </c>
      <c r="L6" s="379">
        <v>12</v>
      </c>
      <c r="M6" s="379">
        <v>13</v>
      </c>
      <c r="N6" s="379">
        <v>14</v>
      </c>
      <c r="O6" s="379">
        <v>15</v>
      </c>
      <c r="P6" s="379">
        <v>16</v>
      </c>
      <c r="Q6" s="379">
        <v>17</v>
      </c>
      <c r="R6" s="379">
        <v>18</v>
      </c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</row>
    <row r="7" spans="1:40" ht="16.5" customHeight="1">
      <c r="A7" s="343">
        <v>801</v>
      </c>
      <c r="B7" s="343"/>
      <c r="C7" s="343"/>
      <c r="D7" s="343" t="s">
        <v>180</v>
      </c>
      <c r="E7" s="344">
        <f>E8+E26+E32+E46</f>
        <v>2148929</v>
      </c>
      <c r="F7" s="344">
        <f>F8+F26+F32+F46</f>
        <v>2148929</v>
      </c>
      <c r="G7" s="344">
        <f>G8+G26+G32+G46</f>
        <v>2143985</v>
      </c>
      <c r="H7" s="344">
        <f>H8+H26+H32+H46</f>
        <v>1548913</v>
      </c>
      <c r="I7" s="344">
        <f>I8+I26+I32+I46</f>
        <v>595072</v>
      </c>
      <c r="J7" s="344">
        <f>J8+J26+J32+J46</f>
        <v>0</v>
      </c>
      <c r="K7" s="344">
        <f>K8+K26+K32+K46</f>
        <v>4944</v>
      </c>
      <c r="L7" s="344">
        <f>L8+L26+L32+L46</f>
        <v>0</v>
      </c>
      <c r="M7" s="344">
        <f>M8+M26+M32+M46</f>
        <v>0</v>
      </c>
      <c r="N7" s="344">
        <f>N8+N26+N32+N46</f>
        <v>0</v>
      </c>
      <c r="O7" s="344">
        <f>O8+O26+O32+O46</f>
        <v>0</v>
      </c>
      <c r="P7" s="344">
        <f>P8+P26+P32+P46</f>
        <v>0</v>
      </c>
      <c r="Q7" s="344">
        <f>Q8+Q26+Q32+Q46</f>
        <v>0</v>
      </c>
      <c r="R7" s="344">
        <f>R8+R26+R32+R46</f>
        <v>0</v>
      </c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</row>
    <row r="8" spans="1:40" s="415" customFormat="1" ht="16.5" customHeight="1">
      <c r="A8" s="405"/>
      <c r="B8" s="405">
        <v>80104</v>
      </c>
      <c r="C8" s="405"/>
      <c r="D8" s="397" t="s">
        <v>343</v>
      </c>
      <c r="E8" s="413">
        <f>F8+O8</f>
        <v>1705220</v>
      </c>
      <c r="F8" s="407">
        <f>SUM(F9:F25)</f>
        <v>1705220</v>
      </c>
      <c r="G8" s="407">
        <f>SUM(G9:G25)</f>
        <v>1700776</v>
      </c>
      <c r="H8" s="407">
        <f>SUM(H9:H25)</f>
        <v>1420322</v>
      </c>
      <c r="I8" s="407">
        <f>SUM(I9:I25)</f>
        <v>280454</v>
      </c>
      <c r="J8" s="407">
        <f>SUM(J9:J25)</f>
        <v>0</v>
      </c>
      <c r="K8" s="407">
        <f>SUM(K9:K25)</f>
        <v>4444</v>
      </c>
      <c r="L8" s="407">
        <f>SUM(L9:L25)</f>
        <v>0</v>
      </c>
      <c r="M8" s="407">
        <f>SUM(M9:M25)</f>
        <v>0</v>
      </c>
      <c r="N8" s="407">
        <f>SUM(N9:N25)</f>
        <v>0</v>
      </c>
      <c r="O8" s="407">
        <f>SUM(O9:O25)</f>
        <v>0</v>
      </c>
      <c r="P8" s="407">
        <f>SUM(P9:P25)</f>
        <v>0</v>
      </c>
      <c r="Q8" s="407">
        <f>SUM(Q9:Q25)</f>
        <v>0</v>
      </c>
      <c r="R8" s="407">
        <f>SUM(R9:R25)</f>
        <v>0</v>
      </c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</row>
    <row r="9" spans="1:40" ht="17.25" customHeight="1">
      <c r="A9" s="416"/>
      <c r="B9" s="416"/>
      <c r="C9" s="417">
        <v>3020</v>
      </c>
      <c r="D9" s="350" t="s">
        <v>465</v>
      </c>
      <c r="E9" s="363">
        <f>F9+O9</f>
        <v>4444</v>
      </c>
      <c r="F9" s="363">
        <f>G9+J9+K9+L9+M9+N9</f>
        <v>4444</v>
      </c>
      <c r="G9" s="363">
        <f>H9+I9</f>
        <v>0</v>
      </c>
      <c r="H9" s="363"/>
      <c r="I9" s="363"/>
      <c r="J9" s="363"/>
      <c r="K9" s="363">
        <v>4444</v>
      </c>
      <c r="L9" s="363"/>
      <c r="M9" s="363"/>
      <c r="N9" s="363"/>
      <c r="O9" s="363"/>
      <c r="P9" s="363"/>
      <c r="Q9" s="363"/>
      <c r="R9" s="363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</row>
    <row r="10" spans="1:40" ht="17.25" customHeight="1">
      <c r="A10" s="416"/>
      <c r="B10" s="416"/>
      <c r="C10" s="417">
        <v>4010</v>
      </c>
      <c r="D10" s="350" t="s">
        <v>328</v>
      </c>
      <c r="E10" s="363">
        <f>F10+O10</f>
        <v>1092768</v>
      </c>
      <c r="F10" s="363">
        <f>G10+J10+K10+L10+M10+N10</f>
        <v>1092768</v>
      </c>
      <c r="G10" s="363">
        <f>H10+I10</f>
        <v>1092768</v>
      </c>
      <c r="H10" s="363">
        <f>(586533+43557+96117+9000+600+13200+5480)+(330060+1800+1491+3408+1522)</f>
        <v>1092768</v>
      </c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</row>
    <row r="11" spans="1:40" ht="17.25" customHeight="1">
      <c r="A11" s="416"/>
      <c r="B11" s="416"/>
      <c r="C11" s="417">
        <v>4040</v>
      </c>
      <c r="D11" s="350" t="s">
        <v>346</v>
      </c>
      <c r="E11" s="363">
        <f>F11+O11</f>
        <v>107335</v>
      </c>
      <c r="F11" s="363">
        <f>G11+J11+K11+L11+M11+N11</f>
        <v>107335</v>
      </c>
      <c r="G11" s="363">
        <f>H11+I11</f>
        <v>107335</v>
      </c>
      <c r="H11" s="363">
        <v>107335</v>
      </c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</row>
    <row r="12" spans="1:40" ht="17.25" customHeight="1">
      <c r="A12" s="416"/>
      <c r="B12" s="416"/>
      <c r="C12" s="417">
        <v>4110</v>
      </c>
      <c r="D12" s="350" t="s">
        <v>347</v>
      </c>
      <c r="E12" s="363">
        <f>F12+O12</f>
        <v>190816</v>
      </c>
      <c r="F12" s="363">
        <f>G12+J12+K12+L12+M12+N12</f>
        <v>190816</v>
      </c>
      <c r="G12" s="363">
        <f>H12+I12</f>
        <v>190816</v>
      </c>
      <c r="H12" s="363">
        <v>190816</v>
      </c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</row>
    <row r="13" spans="1:40" ht="17.25" customHeight="1">
      <c r="A13" s="416"/>
      <c r="B13" s="416"/>
      <c r="C13" s="417">
        <v>4120</v>
      </c>
      <c r="D13" s="350" t="s">
        <v>348</v>
      </c>
      <c r="E13" s="363">
        <f>F13+O13</f>
        <v>29403</v>
      </c>
      <c r="F13" s="363">
        <f>G13+J13+K13+L13+M13+N13</f>
        <v>29403</v>
      </c>
      <c r="G13" s="363">
        <f>H13+I13</f>
        <v>29403</v>
      </c>
      <c r="H13" s="363">
        <v>29403</v>
      </c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</row>
    <row r="14" spans="1:40" ht="17.25" customHeight="1">
      <c r="A14" s="416"/>
      <c r="B14" s="416"/>
      <c r="C14" s="417">
        <v>4210</v>
      </c>
      <c r="D14" s="350" t="s">
        <v>339</v>
      </c>
      <c r="E14" s="363">
        <f>F14+O14</f>
        <v>25600</v>
      </c>
      <c r="F14" s="363">
        <f>G14+J14+K14+L14+M14+N14</f>
        <v>25600</v>
      </c>
      <c r="G14" s="363">
        <f>H14+I14</f>
        <v>25600</v>
      </c>
      <c r="H14" s="363"/>
      <c r="I14" s="363">
        <f>25000+600</f>
        <v>25600</v>
      </c>
      <c r="J14" s="363"/>
      <c r="K14" s="363"/>
      <c r="L14" s="363"/>
      <c r="M14" s="363"/>
      <c r="N14" s="363"/>
      <c r="O14" s="363"/>
      <c r="P14" s="363"/>
      <c r="Q14" s="363"/>
      <c r="R14" s="363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</row>
    <row r="15" spans="1:40" ht="15.75" customHeight="1">
      <c r="A15" s="416"/>
      <c r="B15" s="416"/>
      <c r="C15" s="417">
        <v>4240</v>
      </c>
      <c r="D15" s="350" t="s">
        <v>340</v>
      </c>
      <c r="E15" s="363">
        <f>F15+O15</f>
        <v>6000</v>
      </c>
      <c r="F15" s="363">
        <f>G15+J15+K15+L15+M15+N15</f>
        <v>6000</v>
      </c>
      <c r="G15" s="363">
        <f>H15+I15</f>
        <v>6000</v>
      </c>
      <c r="H15" s="363"/>
      <c r="I15" s="363">
        <v>6000</v>
      </c>
      <c r="J15" s="363"/>
      <c r="K15" s="363"/>
      <c r="L15" s="363"/>
      <c r="M15" s="363"/>
      <c r="N15" s="363"/>
      <c r="O15" s="363"/>
      <c r="P15" s="363"/>
      <c r="Q15" s="363"/>
      <c r="R15" s="363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</row>
    <row r="16" spans="1:40" ht="17.25" customHeight="1">
      <c r="A16" s="416"/>
      <c r="B16" s="416"/>
      <c r="C16" s="417">
        <v>4260</v>
      </c>
      <c r="D16" s="350" t="s">
        <v>349</v>
      </c>
      <c r="E16" s="363">
        <f>F16+O16</f>
        <v>142000</v>
      </c>
      <c r="F16" s="363">
        <f>G16+J16+K16+L16+M16+N16</f>
        <v>142000</v>
      </c>
      <c r="G16" s="363">
        <f>H16+I16</f>
        <v>142000</v>
      </c>
      <c r="H16" s="363"/>
      <c r="I16" s="363">
        <v>142000</v>
      </c>
      <c r="J16" s="363"/>
      <c r="K16" s="363"/>
      <c r="L16" s="363"/>
      <c r="M16" s="363"/>
      <c r="N16" s="363"/>
      <c r="O16" s="363"/>
      <c r="P16" s="363"/>
      <c r="Q16" s="363"/>
      <c r="R16" s="363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</row>
    <row r="17" spans="1:40" ht="17.25" customHeight="1">
      <c r="A17" s="416"/>
      <c r="B17" s="416"/>
      <c r="C17" s="417">
        <v>4270</v>
      </c>
      <c r="D17" s="350" t="s">
        <v>294</v>
      </c>
      <c r="E17" s="363">
        <f>F17+O17</f>
        <v>10000</v>
      </c>
      <c r="F17" s="363">
        <f>G17+J17+K17+L17+M17+N17</f>
        <v>10000</v>
      </c>
      <c r="G17" s="363">
        <f>H17+I17</f>
        <v>10000</v>
      </c>
      <c r="H17" s="363"/>
      <c r="I17" s="363">
        <v>10000</v>
      </c>
      <c r="J17" s="363"/>
      <c r="K17" s="363"/>
      <c r="L17" s="363"/>
      <c r="M17" s="363"/>
      <c r="N17" s="363"/>
      <c r="O17" s="363"/>
      <c r="P17" s="363"/>
      <c r="Q17" s="363"/>
      <c r="R17" s="363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</row>
    <row r="18" spans="1:40" ht="17.25" customHeight="1">
      <c r="A18" s="416"/>
      <c r="B18" s="416"/>
      <c r="C18" s="417">
        <v>4280</v>
      </c>
      <c r="D18" s="350" t="s">
        <v>341</v>
      </c>
      <c r="E18" s="363">
        <f>F18+O18</f>
        <v>1600</v>
      </c>
      <c r="F18" s="363">
        <f>G18+J18+K18+L18+M18+N18</f>
        <v>1600</v>
      </c>
      <c r="G18" s="363">
        <f>H18+I18</f>
        <v>1600</v>
      </c>
      <c r="H18" s="363"/>
      <c r="I18" s="363">
        <v>1600</v>
      </c>
      <c r="J18" s="363"/>
      <c r="K18" s="363"/>
      <c r="L18" s="363"/>
      <c r="M18" s="363"/>
      <c r="N18" s="363"/>
      <c r="O18" s="363"/>
      <c r="P18" s="363"/>
      <c r="Q18" s="363"/>
      <c r="R18" s="363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</row>
    <row r="19" spans="1:40" ht="17.25" customHeight="1">
      <c r="A19" s="416"/>
      <c r="B19" s="416"/>
      <c r="C19" s="417">
        <v>4300</v>
      </c>
      <c r="D19" s="350" t="s">
        <v>350</v>
      </c>
      <c r="E19" s="363">
        <f>F19+O19</f>
        <v>18244</v>
      </c>
      <c r="F19" s="363">
        <f>G19+J19+K19+L19+M19+N19</f>
        <v>18244</v>
      </c>
      <c r="G19" s="363">
        <f>H19+I19</f>
        <v>18244</v>
      </c>
      <c r="H19" s="363"/>
      <c r="I19" s="363">
        <f>17887+357</f>
        <v>18244</v>
      </c>
      <c r="J19" s="363"/>
      <c r="K19" s="363"/>
      <c r="L19" s="363"/>
      <c r="M19" s="363"/>
      <c r="N19" s="363"/>
      <c r="O19" s="363"/>
      <c r="P19" s="363"/>
      <c r="Q19" s="363"/>
      <c r="R19" s="363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</row>
    <row r="20" spans="1:40" ht="17.25" customHeight="1">
      <c r="A20" s="416"/>
      <c r="B20" s="416"/>
      <c r="C20" s="417">
        <v>4350</v>
      </c>
      <c r="D20" s="350" t="s">
        <v>351</v>
      </c>
      <c r="E20" s="363">
        <f>F20+O20</f>
        <v>1435</v>
      </c>
      <c r="F20" s="363">
        <f>G20+J20+K20+L20+M20+N20</f>
        <v>1435</v>
      </c>
      <c r="G20" s="363">
        <f>H20+I20</f>
        <v>1435</v>
      </c>
      <c r="H20" s="363"/>
      <c r="I20" s="363">
        <v>1435</v>
      </c>
      <c r="J20" s="363"/>
      <c r="K20" s="363"/>
      <c r="L20" s="363"/>
      <c r="M20" s="363"/>
      <c r="N20" s="363"/>
      <c r="O20" s="363"/>
      <c r="P20" s="363"/>
      <c r="Q20" s="363"/>
      <c r="R20" s="363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</row>
    <row r="21" spans="1:40" ht="27" customHeight="1">
      <c r="A21" s="416"/>
      <c r="B21" s="416"/>
      <c r="C21" s="417">
        <v>4370</v>
      </c>
      <c r="D21" s="350" t="s">
        <v>467</v>
      </c>
      <c r="E21" s="363">
        <f>F21+O21</f>
        <v>2400</v>
      </c>
      <c r="F21" s="363">
        <f>G21+J21+K21+L21+M21+N21</f>
        <v>2400</v>
      </c>
      <c r="G21" s="363">
        <f>H21+I21</f>
        <v>2400</v>
      </c>
      <c r="H21" s="363"/>
      <c r="I21" s="363">
        <v>2400</v>
      </c>
      <c r="J21" s="363"/>
      <c r="K21" s="363"/>
      <c r="L21" s="363"/>
      <c r="M21" s="363"/>
      <c r="N21" s="363"/>
      <c r="O21" s="363"/>
      <c r="P21" s="363"/>
      <c r="Q21" s="363"/>
      <c r="R21" s="363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</row>
    <row r="22" spans="1:40" ht="17.25" customHeight="1">
      <c r="A22" s="416"/>
      <c r="B22" s="416"/>
      <c r="C22" s="417">
        <v>4410</v>
      </c>
      <c r="D22" s="350" t="s">
        <v>353</v>
      </c>
      <c r="E22" s="363">
        <f>F22+O22</f>
        <v>800</v>
      </c>
      <c r="F22" s="363">
        <f>G22+J22+K22+L22+M22+N22</f>
        <v>800</v>
      </c>
      <c r="G22" s="363">
        <f>H22+I22</f>
        <v>800</v>
      </c>
      <c r="H22" s="363"/>
      <c r="I22" s="363">
        <v>800</v>
      </c>
      <c r="J22" s="363"/>
      <c r="K22" s="363"/>
      <c r="L22" s="363"/>
      <c r="M22" s="363"/>
      <c r="N22" s="363"/>
      <c r="O22" s="363"/>
      <c r="P22" s="363"/>
      <c r="Q22" s="363"/>
      <c r="R22" s="363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</row>
    <row r="23" spans="1:40" ht="17.25" customHeight="1">
      <c r="A23" s="416"/>
      <c r="B23" s="416"/>
      <c r="C23" s="417">
        <v>4430</v>
      </c>
      <c r="D23" s="350" t="s">
        <v>354</v>
      </c>
      <c r="E23" s="363">
        <f>F23+O23</f>
        <v>1500</v>
      </c>
      <c r="F23" s="363">
        <f>G23+J23+K23+L23+M23+N23</f>
        <v>1500</v>
      </c>
      <c r="G23" s="363">
        <f>H23+I23</f>
        <v>1500</v>
      </c>
      <c r="H23" s="363"/>
      <c r="I23" s="363">
        <v>1500</v>
      </c>
      <c r="J23" s="363"/>
      <c r="K23" s="363"/>
      <c r="L23" s="363"/>
      <c r="M23" s="363"/>
      <c r="N23" s="363"/>
      <c r="O23" s="363"/>
      <c r="P23" s="363"/>
      <c r="Q23" s="363"/>
      <c r="R23" s="363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</row>
    <row r="24" spans="1:40" ht="15.75" customHeight="1">
      <c r="A24" s="416"/>
      <c r="B24" s="416"/>
      <c r="C24" s="417">
        <v>4440</v>
      </c>
      <c r="D24" s="350" t="s">
        <v>342</v>
      </c>
      <c r="E24" s="363">
        <f>F24+O24</f>
        <v>69375</v>
      </c>
      <c r="F24" s="363">
        <f>G24+J24+K24+L24+M24+N24</f>
        <v>69375</v>
      </c>
      <c r="G24" s="363">
        <f>H24+I24</f>
        <v>69375</v>
      </c>
      <c r="H24" s="363"/>
      <c r="I24" s="363">
        <v>69375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</row>
    <row r="25" spans="1:40" ht="27" customHeight="1">
      <c r="A25" s="416"/>
      <c r="B25" s="416"/>
      <c r="C25" s="417">
        <v>4700</v>
      </c>
      <c r="D25" s="350" t="s">
        <v>355</v>
      </c>
      <c r="E25" s="363">
        <f>F25+O25</f>
        <v>1500</v>
      </c>
      <c r="F25" s="363">
        <f>G25+J25+K25+L25+M25+N25</f>
        <v>1500</v>
      </c>
      <c r="G25" s="363">
        <f>H25+I25</f>
        <v>1500</v>
      </c>
      <c r="H25" s="363"/>
      <c r="I25" s="363">
        <v>1500</v>
      </c>
      <c r="J25" s="363"/>
      <c r="K25" s="363"/>
      <c r="L25" s="363"/>
      <c r="M25" s="363"/>
      <c r="N25" s="363"/>
      <c r="O25" s="363"/>
      <c r="P25" s="363"/>
      <c r="Q25" s="363"/>
      <c r="R25" s="363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</row>
    <row r="26" spans="1:40" ht="16.5" customHeight="1">
      <c r="A26" s="346"/>
      <c r="B26" s="345">
        <v>80146</v>
      </c>
      <c r="C26" s="352"/>
      <c r="D26" s="346" t="s">
        <v>362</v>
      </c>
      <c r="E26" s="347">
        <f>SUM(E27:E31)</f>
        <v>4800</v>
      </c>
      <c r="F26" s="347">
        <f>SUM(F27:F31)</f>
        <v>4800</v>
      </c>
      <c r="G26" s="347">
        <f>SUM(G27:G31)</f>
        <v>4800</v>
      </c>
      <c r="H26" s="347">
        <f>SUM(H27:H31)</f>
        <v>0</v>
      </c>
      <c r="I26" s="347">
        <f>SUM(I27:I31)</f>
        <v>4800</v>
      </c>
      <c r="J26" s="347">
        <f>SUM(J27:J31)</f>
        <v>0</v>
      </c>
      <c r="K26" s="347">
        <f>SUM(K27:K31)</f>
        <v>0</v>
      </c>
      <c r="L26" s="347">
        <f>SUM(L27:L31)</f>
        <v>0</v>
      </c>
      <c r="M26" s="347">
        <f>SUM(M27:M31)</f>
        <v>0</v>
      </c>
      <c r="N26" s="347">
        <f>SUM(N27:N31)</f>
        <v>0</v>
      </c>
      <c r="O26" s="347">
        <f>SUM(O27:O31)</f>
        <v>0</v>
      </c>
      <c r="P26" s="347">
        <f>SUM(P27:P31)</f>
        <v>0</v>
      </c>
      <c r="Q26" s="347">
        <f>SUM(Q27:Q31)</f>
        <v>0</v>
      </c>
      <c r="R26" s="347">
        <f>SUM(R27:R31)</f>
        <v>0</v>
      </c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</row>
    <row r="27" spans="1:18" ht="17.25" customHeight="1">
      <c r="A27" s="416"/>
      <c r="B27" s="416"/>
      <c r="C27" s="417">
        <v>4210</v>
      </c>
      <c r="D27" s="350" t="s">
        <v>339</v>
      </c>
      <c r="E27" s="363">
        <f>F27+O27</f>
        <v>0</v>
      </c>
      <c r="F27" s="363">
        <f>G27+J27+K27+L27+M27+N27</f>
        <v>0</v>
      </c>
      <c r="G27" s="363">
        <f>H27+I27</f>
        <v>0</v>
      </c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</row>
    <row r="28" spans="1:18" ht="15.75" customHeight="1">
      <c r="A28" s="416"/>
      <c r="B28" s="416"/>
      <c r="C28" s="417">
        <v>4240</v>
      </c>
      <c r="D28" s="350" t="s">
        <v>340</v>
      </c>
      <c r="E28" s="363">
        <f>F28+O28</f>
        <v>0</v>
      </c>
      <c r="F28" s="363">
        <f>G28+J28+K28+L28+M28+N28</f>
        <v>0</v>
      </c>
      <c r="G28" s="363">
        <f>H28+I28</f>
        <v>0</v>
      </c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</row>
    <row r="29" spans="1:18" ht="17.25" customHeight="1">
      <c r="A29" s="416"/>
      <c r="B29" s="416"/>
      <c r="C29" s="417">
        <v>4300</v>
      </c>
      <c r="D29" s="350" t="s">
        <v>350</v>
      </c>
      <c r="E29" s="363">
        <f>F29+O29</f>
        <v>2500</v>
      </c>
      <c r="F29" s="363">
        <f>G29+J29+K29+L29+M29+N29</f>
        <v>2500</v>
      </c>
      <c r="G29" s="363">
        <f>H29+I29</f>
        <v>2500</v>
      </c>
      <c r="H29" s="363"/>
      <c r="I29" s="363">
        <v>2500</v>
      </c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ht="17.25" customHeight="1">
      <c r="A30" s="416"/>
      <c r="B30" s="416"/>
      <c r="C30" s="417">
        <v>4410</v>
      </c>
      <c r="D30" s="350" t="s">
        <v>353</v>
      </c>
      <c r="E30" s="363">
        <f>F30+O30</f>
        <v>1300</v>
      </c>
      <c r="F30" s="363">
        <f>G30+J30+K30+L30+M30+N30</f>
        <v>1300</v>
      </c>
      <c r="G30" s="363">
        <f>H30+I30</f>
        <v>1300</v>
      </c>
      <c r="H30" s="363"/>
      <c r="I30" s="363">
        <v>1300</v>
      </c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ht="27" customHeight="1">
      <c r="A31" s="416"/>
      <c r="B31" s="416"/>
      <c r="C31" s="417">
        <v>4700</v>
      </c>
      <c r="D31" s="350" t="s">
        <v>355</v>
      </c>
      <c r="E31" s="363">
        <f>F31+O31</f>
        <v>1000</v>
      </c>
      <c r="F31" s="363">
        <f>G31+J31+K31+L31+M31+N31</f>
        <v>1000</v>
      </c>
      <c r="G31" s="363">
        <f>H31+I31</f>
        <v>1000</v>
      </c>
      <c r="H31" s="363"/>
      <c r="I31" s="363">
        <v>1000</v>
      </c>
      <c r="J31" s="363"/>
      <c r="K31" s="363"/>
      <c r="L31" s="363"/>
      <c r="M31" s="363"/>
      <c r="N31" s="363"/>
      <c r="O31" s="363"/>
      <c r="P31" s="363"/>
      <c r="Q31" s="363"/>
      <c r="R31" s="363"/>
    </row>
    <row r="32" spans="1:18" ht="16.5" customHeight="1">
      <c r="A32" s="346"/>
      <c r="B32" s="355">
        <v>80148</v>
      </c>
      <c r="C32" s="356"/>
      <c r="D32" s="357" t="s">
        <v>468</v>
      </c>
      <c r="E32" s="358">
        <f>SUM(E33:E45)</f>
        <v>428174</v>
      </c>
      <c r="F32" s="358">
        <f>SUM(F33:F45)</f>
        <v>428174</v>
      </c>
      <c r="G32" s="358">
        <f>SUM(G33:G45)</f>
        <v>427674</v>
      </c>
      <c r="H32" s="358">
        <f>SUM(H33:H45)</f>
        <v>128591</v>
      </c>
      <c r="I32" s="358">
        <f>SUM(I33:I45)</f>
        <v>299083</v>
      </c>
      <c r="J32" s="358">
        <f>SUM(J33:J45)</f>
        <v>0</v>
      </c>
      <c r="K32" s="358">
        <f>SUM(K33:K45)</f>
        <v>500</v>
      </c>
      <c r="L32" s="358">
        <f>SUM(L33:L45)</f>
        <v>0</v>
      </c>
      <c r="M32" s="358">
        <f>SUM(M33:M45)</f>
        <v>0</v>
      </c>
      <c r="N32" s="358">
        <f>SUM(N33:N45)</f>
        <v>0</v>
      </c>
      <c r="O32" s="358">
        <f>SUM(O33:O45)</f>
        <v>0</v>
      </c>
      <c r="P32" s="358">
        <f>SUM(P33:P45)</f>
        <v>0</v>
      </c>
      <c r="Q32" s="358">
        <f>SUM(Q33:Q45)</f>
        <v>0</v>
      </c>
      <c r="R32" s="358">
        <f>SUM(R33:R45)</f>
        <v>0</v>
      </c>
    </row>
    <row r="33" spans="1:18" ht="17.25" customHeight="1">
      <c r="A33" s="416"/>
      <c r="B33" s="416"/>
      <c r="C33" s="417">
        <v>3020</v>
      </c>
      <c r="D33" s="350" t="s">
        <v>465</v>
      </c>
      <c r="E33" s="363">
        <f>F33+O33</f>
        <v>500</v>
      </c>
      <c r="F33" s="363">
        <f>G33+J33+K33+L33+M33+N33</f>
        <v>500</v>
      </c>
      <c r="G33" s="363"/>
      <c r="H33" s="363"/>
      <c r="I33" s="363"/>
      <c r="J33" s="363"/>
      <c r="K33" s="363">
        <v>500</v>
      </c>
      <c r="L33" s="363"/>
      <c r="M33" s="363"/>
      <c r="N33" s="363"/>
      <c r="O33" s="363"/>
      <c r="P33" s="363"/>
      <c r="Q33" s="363"/>
      <c r="R33" s="363"/>
    </row>
    <row r="34" spans="1:18" ht="17.25" customHeight="1">
      <c r="A34" s="416"/>
      <c r="B34" s="416"/>
      <c r="C34" s="417">
        <v>4010</v>
      </c>
      <c r="D34" s="350" t="s">
        <v>328</v>
      </c>
      <c r="E34" s="363">
        <f>F34+O34</f>
        <v>99723</v>
      </c>
      <c r="F34" s="363">
        <f>G34+J34+K34+L34+M34+N34</f>
        <v>99723</v>
      </c>
      <c r="G34" s="363">
        <f>H34+I34</f>
        <v>99723</v>
      </c>
      <c r="H34" s="363">
        <f>76680+13043+10000</f>
        <v>99723</v>
      </c>
      <c r="I34" s="363"/>
      <c r="J34" s="363"/>
      <c r="K34" s="363"/>
      <c r="L34" s="363"/>
      <c r="M34" s="363"/>
      <c r="N34" s="363"/>
      <c r="O34" s="363"/>
      <c r="P34" s="363"/>
      <c r="Q34" s="363"/>
      <c r="R34" s="363"/>
    </row>
    <row r="35" spans="1:18" ht="17.25" customHeight="1">
      <c r="A35" s="416"/>
      <c r="B35" s="416"/>
      <c r="C35" s="417">
        <v>4040</v>
      </c>
      <c r="D35" s="350" t="s">
        <v>346</v>
      </c>
      <c r="E35" s="363">
        <f>F35+O35</f>
        <v>8930</v>
      </c>
      <c r="F35" s="363">
        <f>G35+J35+K35+L35+M35+N35</f>
        <v>8930</v>
      </c>
      <c r="G35" s="363">
        <f>H35+I35</f>
        <v>8930</v>
      </c>
      <c r="H35" s="363">
        <v>8930</v>
      </c>
      <c r="I35" s="363"/>
      <c r="J35" s="363"/>
      <c r="K35" s="363"/>
      <c r="L35" s="363"/>
      <c r="M35" s="363"/>
      <c r="N35" s="363"/>
      <c r="O35" s="363"/>
      <c r="P35" s="363"/>
      <c r="Q35" s="363"/>
      <c r="R35" s="363"/>
    </row>
    <row r="36" spans="1:18" ht="17.25" customHeight="1">
      <c r="A36" s="416"/>
      <c r="B36" s="416"/>
      <c r="C36" s="417">
        <v>4110</v>
      </c>
      <c r="D36" s="350" t="s">
        <v>347</v>
      </c>
      <c r="E36" s="363">
        <f>F36+O36</f>
        <v>17276</v>
      </c>
      <c r="F36" s="363">
        <f>G36+J36+K36+L36+M36+N36</f>
        <v>17276</v>
      </c>
      <c r="G36" s="363">
        <f>H36+I36</f>
        <v>17276</v>
      </c>
      <c r="H36" s="363">
        <v>17276</v>
      </c>
      <c r="I36" s="363"/>
      <c r="J36" s="363"/>
      <c r="K36" s="363"/>
      <c r="L36" s="363"/>
      <c r="M36" s="363"/>
      <c r="N36" s="363"/>
      <c r="O36" s="363"/>
      <c r="P36" s="363"/>
      <c r="Q36" s="363"/>
      <c r="R36" s="363"/>
    </row>
    <row r="37" spans="1:18" ht="17.25" customHeight="1">
      <c r="A37" s="416"/>
      <c r="B37" s="416"/>
      <c r="C37" s="417">
        <v>4120</v>
      </c>
      <c r="D37" s="350" t="s">
        <v>348</v>
      </c>
      <c r="E37" s="363">
        <f>F37+O37</f>
        <v>2662</v>
      </c>
      <c r="F37" s="363">
        <f>G37+J37+K37+L37+M37+N37</f>
        <v>2662</v>
      </c>
      <c r="G37" s="363">
        <f>H37+I37</f>
        <v>2662</v>
      </c>
      <c r="H37" s="363">
        <v>2662</v>
      </c>
      <c r="I37" s="363"/>
      <c r="J37" s="363"/>
      <c r="K37" s="363"/>
      <c r="L37" s="363"/>
      <c r="M37" s="363"/>
      <c r="N37" s="363"/>
      <c r="O37" s="363"/>
      <c r="P37" s="363"/>
      <c r="Q37" s="363"/>
      <c r="R37" s="363"/>
    </row>
    <row r="38" spans="1:18" ht="17.25" customHeight="1">
      <c r="A38" s="416"/>
      <c r="B38" s="416"/>
      <c r="C38" s="417">
        <v>4210</v>
      </c>
      <c r="D38" s="350" t="s">
        <v>339</v>
      </c>
      <c r="E38" s="363">
        <f>F38+O38</f>
        <v>9000</v>
      </c>
      <c r="F38" s="363">
        <f>G38+J38+K38+L38+M38+N38</f>
        <v>9000</v>
      </c>
      <c r="G38" s="363">
        <f>H38+I38</f>
        <v>9000</v>
      </c>
      <c r="H38" s="363"/>
      <c r="I38" s="363">
        <v>9000</v>
      </c>
      <c r="J38" s="363"/>
      <c r="K38" s="363"/>
      <c r="L38" s="363"/>
      <c r="M38" s="363"/>
      <c r="N38" s="363"/>
      <c r="O38" s="363"/>
      <c r="P38" s="363"/>
      <c r="Q38" s="363"/>
      <c r="R38" s="363"/>
    </row>
    <row r="39" spans="1:18" ht="17.25" customHeight="1">
      <c r="A39" s="416"/>
      <c r="B39" s="416"/>
      <c r="C39" s="417">
        <v>4220</v>
      </c>
      <c r="D39" s="350" t="s">
        <v>469</v>
      </c>
      <c r="E39" s="363">
        <f>F39+O39</f>
        <v>283000</v>
      </c>
      <c r="F39" s="363">
        <f>G39+J39+K39+L39+M39+N39</f>
        <v>283000</v>
      </c>
      <c r="G39" s="363">
        <f>H39+I39</f>
        <v>283000</v>
      </c>
      <c r="H39" s="363"/>
      <c r="I39" s="363">
        <v>283000</v>
      </c>
      <c r="J39" s="363"/>
      <c r="K39" s="363"/>
      <c r="L39" s="363"/>
      <c r="M39" s="363"/>
      <c r="N39" s="363"/>
      <c r="O39" s="363"/>
      <c r="P39" s="363"/>
      <c r="Q39" s="363"/>
      <c r="R39" s="363"/>
    </row>
    <row r="40" spans="1:18" ht="17.25" customHeight="1">
      <c r="A40" s="416"/>
      <c r="B40" s="416"/>
      <c r="C40" s="417">
        <v>4270</v>
      </c>
      <c r="D40" s="350" t="s">
        <v>294</v>
      </c>
      <c r="E40" s="363">
        <f>F40+O40</f>
        <v>1000</v>
      </c>
      <c r="F40" s="363">
        <f>G40+J40+K40+L40+M40+N40</f>
        <v>1000</v>
      </c>
      <c r="G40" s="363">
        <f>H40+I40</f>
        <v>1000</v>
      </c>
      <c r="H40" s="363"/>
      <c r="I40" s="363">
        <v>1000</v>
      </c>
      <c r="J40" s="363"/>
      <c r="K40" s="363"/>
      <c r="L40" s="363"/>
      <c r="M40" s="363"/>
      <c r="N40" s="363"/>
      <c r="O40" s="363"/>
      <c r="P40" s="363"/>
      <c r="Q40" s="363"/>
      <c r="R40" s="363"/>
    </row>
    <row r="41" spans="1:18" ht="17.25" customHeight="1">
      <c r="A41" s="416"/>
      <c r="B41" s="416"/>
      <c r="C41" s="417">
        <v>4280</v>
      </c>
      <c r="D41" s="350" t="s">
        <v>341</v>
      </c>
      <c r="E41" s="363">
        <f>F41+O41</f>
        <v>200</v>
      </c>
      <c r="F41" s="363">
        <f>G41+J41+K41+L41+M41+N41</f>
        <v>200</v>
      </c>
      <c r="G41" s="363">
        <f>H41+I41</f>
        <v>200</v>
      </c>
      <c r="H41" s="363"/>
      <c r="I41" s="363">
        <v>200</v>
      </c>
      <c r="J41" s="363"/>
      <c r="K41" s="363"/>
      <c r="L41" s="363"/>
      <c r="M41" s="363"/>
      <c r="N41" s="363"/>
      <c r="O41" s="363"/>
      <c r="P41" s="363"/>
      <c r="Q41" s="363"/>
      <c r="R41" s="363"/>
    </row>
    <row r="42" spans="1:18" ht="17.25" customHeight="1">
      <c r="A42" s="416"/>
      <c r="B42" s="416"/>
      <c r="C42" s="417">
        <v>4300</v>
      </c>
      <c r="D42" s="350" t="s">
        <v>350</v>
      </c>
      <c r="E42" s="363">
        <f>F42+O42</f>
        <v>350</v>
      </c>
      <c r="F42" s="363">
        <f>G42+J42+K42+L42+M42+N42</f>
        <v>350</v>
      </c>
      <c r="G42" s="363">
        <f>H42+I42</f>
        <v>350</v>
      </c>
      <c r="H42" s="363"/>
      <c r="I42" s="363">
        <v>350</v>
      </c>
      <c r="J42" s="363"/>
      <c r="K42" s="363"/>
      <c r="L42" s="363"/>
      <c r="M42" s="363"/>
      <c r="N42" s="363"/>
      <c r="O42" s="363"/>
      <c r="P42" s="363"/>
      <c r="Q42" s="363"/>
      <c r="R42" s="363"/>
    </row>
    <row r="43" spans="1:18" ht="17.25" customHeight="1">
      <c r="A43" s="416"/>
      <c r="B43" s="416"/>
      <c r="C43" s="417">
        <v>4410</v>
      </c>
      <c r="D43" s="350" t="s">
        <v>353</v>
      </c>
      <c r="E43" s="363">
        <f>F43+O43</f>
        <v>300</v>
      </c>
      <c r="F43" s="363">
        <f>G43+J43+K43+L43+M43+N43</f>
        <v>300</v>
      </c>
      <c r="G43" s="363">
        <f>H43+I43</f>
        <v>300</v>
      </c>
      <c r="H43" s="363"/>
      <c r="I43" s="363">
        <v>300</v>
      </c>
      <c r="J43" s="363"/>
      <c r="K43" s="363"/>
      <c r="L43" s="363"/>
      <c r="M43" s="363"/>
      <c r="N43" s="363"/>
      <c r="O43" s="363"/>
      <c r="P43" s="363"/>
      <c r="Q43" s="363"/>
      <c r="R43" s="363"/>
    </row>
    <row r="44" spans="1:18" ht="15.75" customHeight="1">
      <c r="A44" s="416"/>
      <c r="B44" s="416"/>
      <c r="C44" s="417">
        <v>4440</v>
      </c>
      <c r="D44" s="350" t="s">
        <v>342</v>
      </c>
      <c r="E44" s="363">
        <f>F44+O44</f>
        <v>4233</v>
      </c>
      <c r="F44" s="363">
        <f>G44+J44+K44+L44+M44+N44</f>
        <v>4233</v>
      </c>
      <c r="G44" s="363">
        <f>H44+I44</f>
        <v>4233</v>
      </c>
      <c r="H44" s="363"/>
      <c r="I44" s="363">
        <v>4233</v>
      </c>
      <c r="J44" s="363"/>
      <c r="K44" s="363"/>
      <c r="L44" s="363"/>
      <c r="M44" s="363"/>
      <c r="N44" s="363"/>
      <c r="O44" s="363"/>
      <c r="P44" s="363"/>
      <c r="Q44" s="363"/>
      <c r="R44" s="363"/>
    </row>
    <row r="45" spans="1:18" ht="27" customHeight="1">
      <c r="A45" s="416"/>
      <c r="B45" s="416"/>
      <c r="C45" s="417">
        <v>4700</v>
      </c>
      <c r="D45" s="350" t="s">
        <v>355</v>
      </c>
      <c r="E45" s="363">
        <f>F45+O45</f>
        <v>1000</v>
      </c>
      <c r="F45" s="363">
        <f>G45+J45+K45+L45+M45+N45</f>
        <v>1000</v>
      </c>
      <c r="G45" s="363">
        <f>H45+I45</f>
        <v>1000</v>
      </c>
      <c r="H45" s="363"/>
      <c r="I45" s="363">
        <v>1000</v>
      </c>
      <c r="J45" s="363"/>
      <c r="K45" s="363"/>
      <c r="L45" s="363"/>
      <c r="M45" s="363"/>
      <c r="N45" s="363"/>
      <c r="O45" s="363"/>
      <c r="P45" s="363"/>
      <c r="Q45" s="363"/>
      <c r="R45" s="363"/>
    </row>
    <row r="46" spans="1:18" ht="16.5" customHeight="1">
      <c r="A46" s="345"/>
      <c r="B46" s="345">
        <v>80195</v>
      </c>
      <c r="C46" s="352"/>
      <c r="D46" s="346" t="s">
        <v>95</v>
      </c>
      <c r="E46" s="347">
        <f>SUM(E47:E47)</f>
        <v>10735</v>
      </c>
      <c r="F46" s="347">
        <f>SUM(F47:F47)</f>
        <v>10735</v>
      </c>
      <c r="G46" s="347">
        <f>SUM(G47:G47)</f>
        <v>10735</v>
      </c>
      <c r="H46" s="347">
        <f>SUM(H47:H47)</f>
        <v>0</v>
      </c>
      <c r="I46" s="347">
        <f>SUM(I47:I47)</f>
        <v>10735</v>
      </c>
      <c r="J46" s="347">
        <f>SUM(J47:J47)</f>
        <v>0</v>
      </c>
      <c r="K46" s="347">
        <f>SUM(K47:K47)</f>
        <v>0</v>
      </c>
      <c r="L46" s="347">
        <f>SUM(L47:L47)</f>
        <v>0</v>
      </c>
      <c r="M46" s="347">
        <f>SUM(M47:M47)</f>
        <v>0</v>
      </c>
      <c r="N46" s="347">
        <f>SUM(N47:N47)</f>
        <v>0</v>
      </c>
      <c r="O46" s="347">
        <f>SUM(O47:O47)</f>
        <v>0</v>
      </c>
      <c r="P46" s="347">
        <f>SUM(P47:P47)</f>
        <v>0</v>
      </c>
      <c r="Q46" s="347">
        <f>SUM(Q47:Q47)</f>
        <v>0</v>
      </c>
      <c r="R46" s="347">
        <f>SUM(R47:R47)</f>
        <v>0</v>
      </c>
    </row>
    <row r="47" spans="1:18" ht="15.75" customHeight="1">
      <c r="A47" s="416"/>
      <c r="B47" s="416"/>
      <c r="C47" s="418">
        <v>4440</v>
      </c>
      <c r="D47" s="350" t="s">
        <v>342</v>
      </c>
      <c r="E47" s="363">
        <f>F47+O47</f>
        <v>10735</v>
      </c>
      <c r="F47" s="363">
        <f>G47+J47+K47+L47+M47+N47</f>
        <v>10735</v>
      </c>
      <c r="G47" s="363">
        <f>H47+I47</f>
        <v>10735</v>
      </c>
      <c r="H47" s="363"/>
      <c r="I47" s="363">
        <v>10735</v>
      </c>
      <c r="J47" s="363"/>
      <c r="K47" s="363"/>
      <c r="L47" s="363"/>
      <c r="M47" s="363"/>
      <c r="N47" s="363"/>
      <c r="O47" s="363"/>
      <c r="P47" s="363"/>
      <c r="Q47" s="363"/>
      <c r="R47" s="363"/>
    </row>
    <row r="48" spans="5:18" ht="18" customHeight="1">
      <c r="E48" s="359"/>
      <c r="F48" s="359"/>
      <c r="G48" s="360"/>
      <c r="H48" s="361"/>
      <c r="I48" s="361"/>
      <c r="J48" s="362"/>
      <c r="K48" s="362"/>
      <c r="L48" s="362"/>
      <c r="M48" s="362"/>
      <c r="R48" s="361"/>
    </row>
    <row r="49" spans="5:18" ht="18" customHeight="1">
      <c r="E49" s="361"/>
      <c r="F49" s="361"/>
      <c r="G49" s="360"/>
      <c r="H49" s="361"/>
      <c r="I49" s="361"/>
      <c r="J49" s="362"/>
      <c r="K49" s="362"/>
      <c r="L49" s="362"/>
      <c r="M49" s="362"/>
      <c r="R49" s="361"/>
    </row>
    <row r="50" spans="5:18" ht="18" customHeight="1">
      <c r="E50" s="361"/>
      <c r="F50" s="361"/>
      <c r="G50" s="360"/>
      <c r="H50" s="361"/>
      <c r="I50" s="361"/>
      <c r="J50" s="362"/>
      <c r="K50" s="362"/>
      <c r="L50" s="362"/>
      <c r="M50" s="362"/>
      <c r="O50" s="362"/>
      <c r="P50" s="362"/>
      <c r="Q50" s="362"/>
      <c r="R50" s="361"/>
    </row>
    <row r="51" spans="5:18" ht="18" customHeight="1">
      <c r="E51" s="361"/>
      <c r="F51" s="361"/>
      <c r="G51" s="360"/>
      <c r="H51" s="361"/>
      <c r="I51" s="361"/>
      <c r="J51" s="362"/>
      <c r="K51" s="362"/>
      <c r="L51" s="362"/>
      <c r="M51" s="362"/>
      <c r="R51" s="361"/>
    </row>
    <row r="52" spans="5:18" ht="18" customHeight="1">
      <c r="E52" s="361"/>
      <c r="F52" s="361"/>
      <c r="G52" s="360"/>
      <c r="H52" s="361"/>
      <c r="I52" s="361"/>
      <c r="J52" s="362"/>
      <c r="K52" s="362"/>
      <c r="L52" s="362"/>
      <c r="M52" s="362"/>
      <c r="R52" s="361"/>
    </row>
    <row r="53" spans="5:18" ht="18" customHeight="1">
      <c r="E53" s="361"/>
      <c r="F53" s="361"/>
      <c r="G53" s="360"/>
      <c r="H53" s="361"/>
      <c r="I53" s="361"/>
      <c r="J53" s="362"/>
      <c r="K53" s="362"/>
      <c r="L53" s="362"/>
      <c r="M53" s="362"/>
      <c r="R53" s="361"/>
    </row>
    <row r="54" spans="5:18" ht="18" customHeight="1">
      <c r="E54" s="361"/>
      <c r="F54" s="361"/>
      <c r="G54" s="360"/>
      <c r="H54" s="361"/>
      <c r="I54" s="361"/>
      <c r="J54" s="362"/>
      <c r="K54" s="362"/>
      <c r="L54" s="362"/>
      <c r="M54" s="362"/>
      <c r="R54" s="361"/>
    </row>
    <row r="55" spans="5:18" ht="18" customHeight="1">
      <c r="E55" s="361"/>
      <c r="F55" s="361"/>
      <c r="G55" s="360"/>
      <c r="H55" s="361"/>
      <c r="I55" s="361"/>
      <c r="J55" s="362"/>
      <c r="K55" s="362"/>
      <c r="L55" s="362"/>
      <c r="M55" s="362"/>
      <c r="R55" s="361"/>
    </row>
    <row r="56" spans="5:18" ht="18" customHeight="1">
      <c r="E56" s="361"/>
      <c r="F56" s="361"/>
      <c r="G56" s="360"/>
      <c r="H56" s="361"/>
      <c r="I56" s="361"/>
      <c r="J56" s="362"/>
      <c r="K56" s="362"/>
      <c r="L56" s="362"/>
      <c r="M56" s="362"/>
      <c r="R56" s="361"/>
    </row>
    <row r="57" spans="5:18" ht="18" customHeight="1">
      <c r="E57" s="361"/>
      <c r="F57" s="361"/>
      <c r="G57" s="360"/>
      <c r="H57" s="361"/>
      <c r="I57" s="361"/>
      <c r="J57" s="362"/>
      <c r="K57" s="362"/>
      <c r="L57" s="362"/>
      <c r="M57" s="362"/>
      <c r="R57" s="361"/>
    </row>
    <row r="58" spans="5:18" ht="18" customHeight="1">
      <c r="E58" s="361"/>
      <c r="F58" s="361"/>
      <c r="G58" s="360"/>
      <c r="H58" s="361"/>
      <c r="I58" s="361"/>
      <c r="J58" s="362"/>
      <c r="K58" s="362"/>
      <c r="L58" s="362"/>
      <c r="M58" s="362"/>
      <c r="R58" s="361"/>
    </row>
    <row r="59" spans="5:18" ht="18" customHeight="1">
      <c r="E59" s="361"/>
      <c r="F59" s="361"/>
      <c r="G59" s="360"/>
      <c r="H59" s="361"/>
      <c r="I59" s="361"/>
      <c r="J59" s="362"/>
      <c r="K59" s="362"/>
      <c r="L59" s="362"/>
      <c r="M59" s="362"/>
      <c r="R59" s="361"/>
    </row>
    <row r="60" spans="5:18" ht="18" customHeight="1">
      <c r="E60" s="361"/>
      <c r="F60" s="361"/>
      <c r="G60" s="360"/>
      <c r="H60" s="361"/>
      <c r="I60" s="361"/>
      <c r="J60" s="362"/>
      <c r="K60" s="362"/>
      <c r="L60" s="362"/>
      <c r="M60" s="362"/>
      <c r="R60" s="361"/>
    </row>
    <row r="61" spans="5:18" ht="18" customHeight="1">
      <c r="E61" s="361"/>
      <c r="F61" s="361"/>
      <c r="G61" s="360"/>
      <c r="H61" s="361"/>
      <c r="I61" s="361"/>
      <c r="J61" s="362"/>
      <c r="K61" s="362"/>
      <c r="L61" s="362"/>
      <c r="M61" s="362"/>
      <c r="R61" s="361"/>
    </row>
    <row r="62" spans="5:18" ht="18" customHeight="1">
      <c r="E62" s="361"/>
      <c r="F62" s="361"/>
      <c r="G62" s="360"/>
      <c r="H62" s="361"/>
      <c r="I62" s="361"/>
      <c r="J62" s="362"/>
      <c r="K62" s="362"/>
      <c r="L62" s="362"/>
      <c r="M62" s="362"/>
      <c r="R62" s="361"/>
    </row>
    <row r="63" spans="5:18" ht="18" customHeight="1">
      <c r="E63" s="361"/>
      <c r="F63" s="361"/>
      <c r="G63" s="360"/>
      <c r="H63" s="361"/>
      <c r="I63" s="361"/>
      <c r="J63" s="362"/>
      <c r="K63" s="362"/>
      <c r="L63" s="362"/>
      <c r="M63" s="362"/>
      <c r="R63" s="361"/>
    </row>
    <row r="64" spans="5:18" ht="18" customHeight="1">
      <c r="E64" s="361"/>
      <c r="F64" s="361"/>
      <c r="G64" s="360"/>
      <c r="H64" s="361"/>
      <c r="I64" s="361"/>
      <c r="J64" s="362"/>
      <c r="K64" s="362"/>
      <c r="L64" s="362"/>
      <c r="M64" s="362"/>
      <c r="R64" s="361"/>
    </row>
    <row r="65" spans="5:18" ht="18" customHeight="1">
      <c r="E65" s="361"/>
      <c r="F65" s="361"/>
      <c r="G65" s="360"/>
      <c r="H65" s="361"/>
      <c r="I65" s="361"/>
      <c r="J65" s="362"/>
      <c r="K65" s="362"/>
      <c r="L65" s="362"/>
      <c r="M65" s="362"/>
      <c r="R65" s="361"/>
    </row>
    <row r="66" spans="5:18" ht="18" customHeight="1">
      <c r="E66" s="361"/>
      <c r="F66" s="361"/>
      <c r="G66" s="360"/>
      <c r="H66" s="361"/>
      <c r="I66" s="361"/>
      <c r="J66" s="362"/>
      <c r="K66" s="362"/>
      <c r="L66" s="362"/>
      <c r="M66" s="362"/>
      <c r="R66" s="361"/>
    </row>
    <row r="67" spans="5:18" ht="18" customHeight="1">
      <c r="E67" s="361"/>
      <c r="F67" s="361"/>
      <c r="G67" s="360"/>
      <c r="H67" s="361"/>
      <c r="I67" s="361"/>
      <c r="J67" s="362"/>
      <c r="K67" s="362"/>
      <c r="L67" s="362"/>
      <c r="M67" s="362"/>
      <c r="R67" s="361"/>
    </row>
    <row r="68" spans="5:18" ht="18" customHeight="1">
      <c r="E68" s="361"/>
      <c r="F68" s="361"/>
      <c r="G68" s="360"/>
      <c r="H68" s="361"/>
      <c r="I68" s="361"/>
      <c r="J68" s="362"/>
      <c r="K68" s="362"/>
      <c r="L68" s="362"/>
      <c r="M68" s="362"/>
      <c r="R68" s="361"/>
    </row>
    <row r="69" spans="5:18" ht="18" customHeight="1">
      <c r="E69" s="361"/>
      <c r="F69" s="361"/>
      <c r="G69" s="360"/>
      <c r="H69" s="361"/>
      <c r="I69" s="361"/>
      <c r="J69" s="362"/>
      <c r="K69" s="362"/>
      <c r="L69" s="362"/>
      <c r="M69" s="362"/>
      <c r="R69" s="361"/>
    </row>
    <row r="70" spans="5:18" ht="18" customHeight="1">
      <c r="E70" s="361"/>
      <c r="F70" s="361"/>
      <c r="G70" s="360"/>
      <c r="H70" s="361"/>
      <c r="I70" s="361"/>
      <c r="J70" s="362"/>
      <c r="K70" s="362"/>
      <c r="L70" s="362"/>
      <c r="M70" s="362"/>
      <c r="R70" s="361"/>
    </row>
    <row r="71" spans="5:18" ht="18" customHeight="1">
      <c r="E71" s="361"/>
      <c r="F71" s="361"/>
      <c r="G71" s="360"/>
      <c r="H71" s="361"/>
      <c r="I71" s="361"/>
      <c r="J71" s="362"/>
      <c r="K71" s="362"/>
      <c r="L71" s="362"/>
      <c r="M71" s="362"/>
      <c r="R71" s="361"/>
    </row>
    <row r="72" spans="5:18" ht="18" customHeight="1">
      <c r="E72" s="361"/>
      <c r="F72" s="361"/>
      <c r="G72" s="360"/>
      <c r="H72" s="361"/>
      <c r="I72" s="361"/>
      <c r="J72" s="362"/>
      <c r="K72" s="362"/>
      <c r="L72" s="362"/>
      <c r="M72" s="362"/>
      <c r="R72" s="361"/>
    </row>
    <row r="73" spans="5:18" ht="18" customHeight="1">
      <c r="E73" s="361"/>
      <c r="F73" s="361"/>
      <c r="G73" s="360"/>
      <c r="H73" s="361"/>
      <c r="I73" s="361"/>
      <c r="J73" s="362"/>
      <c r="K73" s="362"/>
      <c r="L73" s="362"/>
      <c r="M73" s="362"/>
      <c r="R73" s="361"/>
    </row>
    <row r="74" spans="5:18" ht="18" customHeight="1">
      <c r="E74" s="361"/>
      <c r="F74" s="361"/>
      <c r="G74" s="360"/>
      <c r="H74" s="361"/>
      <c r="I74" s="361"/>
      <c r="J74" s="362"/>
      <c r="K74" s="362"/>
      <c r="L74" s="362"/>
      <c r="M74" s="362"/>
      <c r="R74" s="361"/>
    </row>
    <row r="75" spans="5:18" ht="18" customHeight="1">
      <c r="E75" s="361"/>
      <c r="F75" s="361"/>
      <c r="H75" s="361"/>
      <c r="I75" s="361"/>
      <c r="R75" s="361"/>
    </row>
    <row r="76" spans="5:18" ht="18" customHeight="1">
      <c r="E76" s="361"/>
      <c r="F76" s="361"/>
      <c r="H76" s="361"/>
      <c r="I76" s="361"/>
      <c r="R76" s="361"/>
    </row>
    <row r="77" spans="5:18" ht="18" customHeight="1">
      <c r="E77" s="361"/>
      <c r="F77" s="361"/>
      <c r="H77" s="361"/>
      <c r="I77" s="361"/>
      <c r="R77" s="361"/>
    </row>
    <row r="78" spans="5:18" ht="18" customHeight="1">
      <c r="E78" s="361"/>
      <c r="F78" s="361"/>
      <c r="H78" s="361"/>
      <c r="I78" s="361"/>
      <c r="R78" s="361"/>
    </row>
    <row r="79" spans="5:18" ht="18" customHeight="1">
      <c r="E79" s="361"/>
      <c r="F79" s="361"/>
      <c r="H79" s="361"/>
      <c r="I79" s="361"/>
      <c r="R79" s="361"/>
    </row>
    <row r="80" spans="5:18" ht="18" customHeight="1">
      <c r="E80" s="361"/>
      <c r="F80" s="361"/>
      <c r="H80" s="361"/>
      <c r="I80" s="361"/>
      <c r="R80" s="361"/>
    </row>
    <row r="81" spans="5:18" ht="18" customHeight="1">
      <c r="E81" s="361"/>
      <c r="F81" s="361"/>
      <c r="H81" s="361"/>
      <c r="I81" s="361"/>
      <c r="R81" s="361"/>
    </row>
    <row r="82" spans="5:18" ht="18" customHeight="1">
      <c r="E82" s="361"/>
      <c r="F82" s="361"/>
      <c r="H82" s="361"/>
      <c r="I82" s="361"/>
      <c r="R82" s="361"/>
    </row>
    <row r="83" spans="5:18" ht="18" customHeight="1">
      <c r="E83" s="361"/>
      <c r="F83" s="361"/>
      <c r="I83" s="361"/>
      <c r="R83" s="361"/>
    </row>
    <row r="84" spans="5:18" ht="18" customHeight="1">
      <c r="E84" s="361"/>
      <c r="F84" s="361"/>
      <c r="I84" s="361"/>
      <c r="R84" s="361"/>
    </row>
    <row r="85" spans="5:18" ht="18" customHeight="1">
      <c r="E85" s="361"/>
      <c r="F85" s="361"/>
      <c r="I85" s="361"/>
      <c r="R85" s="361"/>
    </row>
    <row r="86" spans="5:18" ht="18" customHeight="1">
      <c r="E86" s="361"/>
      <c r="F86" s="361"/>
      <c r="I86" s="361"/>
      <c r="R86" s="361"/>
    </row>
    <row r="87" spans="5:18" ht="18" customHeight="1">
      <c r="E87" s="361"/>
      <c r="F87" s="361"/>
      <c r="I87" s="361"/>
      <c r="R87" s="361"/>
    </row>
    <row r="88" spans="5:18" ht="18" customHeight="1">
      <c r="E88" s="361"/>
      <c r="F88" s="361"/>
      <c r="I88" s="361"/>
      <c r="R88" s="361"/>
    </row>
    <row r="89" spans="5:18" ht="18" customHeight="1">
      <c r="E89" s="361"/>
      <c r="F89" s="361"/>
      <c r="I89" s="361"/>
      <c r="R89" s="361"/>
    </row>
    <row r="90" spans="5:18" ht="18" customHeight="1">
      <c r="E90" s="361"/>
      <c r="F90" s="361"/>
      <c r="I90" s="361"/>
      <c r="R90" s="361"/>
    </row>
    <row r="91" spans="5:18" ht="18" customHeight="1">
      <c r="E91" s="361"/>
      <c r="F91" s="361"/>
      <c r="I91" s="361"/>
      <c r="R91" s="361"/>
    </row>
    <row r="92" spans="5:18" ht="18" customHeight="1">
      <c r="E92" s="361"/>
      <c r="F92" s="361"/>
      <c r="I92" s="361"/>
      <c r="R92" s="361"/>
    </row>
    <row r="93" spans="5:18" ht="18" customHeight="1">
      <c r="E93" s="361"/>
      <c r="F93" s="361"/>
      <c r="I93" s="361"/>
      <c r="R93" s="361"/>
    </row>
    <row r="94" spans="5:18" ht="18" customHeight="1">
      <c r="E94" s="361"/>
      <c r="F94" s="361"/>
      <c r="I94" s="361"/>
      <c r="R94" s="361"/>
    </row>
    <row r="95" spans="5:18" ht="18" customHeight="1">
      <c r="E95" s="361"/>
      <c r="F95" s="361"/>
      <c r="I95" s="361"/>
      <c r="R95" s="361"/>
    </row>
    <row r="96" spans="5:18" ht="18" customHeight="1">
      <c r="E96" s="361"/>
      <c r="F96" s="361"/>
      <c r="I96" s="361"/>
      <c r="R96" s="361"/>
    </row>
    <row r="97" spans="5:18" ht="18" customHeight="1">
      <c r="E97" s="361"/>
      <c r="F97" s="361"/>
      <c r="I97" s="361"/>
      <c r="R97" s="361"/>
    </row>
    <row r="98" spans="5:18" ht="18" customHeight="1">
      <c r="E98" s="361"/>
      <c r="F98" s="361"/>
      <c r="I98" s="361"/>
      <c r="R98" s="361"/>
    </row>
    <row r="99" spans="5:18" ht="18" customHeight="1">
      <c r="E99" s="361"/>
      <c r="F99" s="361"/>
      <c r="I99" s="361"/>
      <c r="R99" s="361"/>
    </row>
    <row r="100" spans="5:18" ht="18" customHeight="1">
      <c r="E100" s="361"/>
      <c r="F100" s="361"/>
      <c r="I100" s="361"/>
      <c r="R100" s="361"/>
    </row>
    <row r="101" spans="5:18" ht="18" customHeight="1">
      <c r="E101" s="361"/>
      <c r="F101" s="361"/>
      <c r="I101" s="361"/>
      <c r="R101" s="361"/>
    </row>
    <row r="102" spans="5:18" ht="18" customHeight="1">
      <c r="E102" s="361"/>
      <c r="F102" s="361"/>
      <c r="I102" s="361"/>
      <c r="R102" s="361"/>
    </row>
    <row r="103" spans="5:18" ht="18" customHeight="1">
      <c r="E103" s="361"/>
      <c r="F103" s="361"/>
      <c r="I103" s="361"/>
      <c r="R103" s="361"/>
    </row>
    <row r="104" spans="5:18" ht="18" customHeight="1">
      <c r="E104" s="361"/>
      <c r="F104" s="361"/>
      <c r="I104" s="361"/>
      <c r="R104" s="361"/>
    </row>
    <row r="105" spans="5:18" ht="18" customHeight="1">
      <c r="E105" s="361"/>
      <c r="F105" s="361"/>
      <c r="I105" s="361"/>
      <c r="R105" s="361"/>
    </row>
    <row r="106" spans="5:18" ht="18" customHeight="1">
      <c r="E106" s="361"/>
      <c r="F106" s="361"/>
      <c r="I106" s="361"/>
      <c r="R106" s="361"/>
    </row>
    <row r="107" spans="5:18" ht="18" customHeight="1">
      <c r="E107" s="361"/>
      <c r="F107" s="361"/>
      <c r="I107" s="361"/>
      <c r="R107" s="361"/>
    </row>
    <row r="108" spans="5:18" ht="18" customHeight="1">
      <c r="E108" s="361"/>
      <c r="F108" s="361"/>
      <c r="I108" s="361"/>
      <c r="R108" s="361"/>
    </row>
    <row r="109" spans="5:18" ht="18" customHeight="1">
      <c r="E109" s="361"/>
      <c r="F109" s="361"/>
      <c r="I109" s="361"/>
      <c r="R109" s="361"/>
    </row>
    <row r="110" spans="5:18" ht="18" customHeight="1">
      <c r="E110" s="361"/>
      <c r="F110" s="361"/>
      <c r="I110" s="361"/>
      <c r="R110" s="361"/>
    </row>
    <row r="111" spans="5:18" ht="18" customHeight="1">
      <c r="E111" s="361"/>
      <c r="F111" s="361"/>
      <c r="I111" s="361"/>
      <c r="R111" s="361"/>
    </row>
    <row r="112" spans="5:18" ht="18" customHeight="1">
      <c r="E112" s="361"/>
      <c r="F112" s="361"/>
      <c r="I112" s="361"/>
      <c r="R112" s="361"/>
    </row>
    <row r="113" spans="5:18" ht="18" customHeight="1">
      <c r="E113" s="361"/>
      <c r="F113" s="361"/>
      <c r="I113" s="361"/>
      <c r="R113" s="361"/>
    </row>
    <row r="114" spans="5:18" ht="18" customHeight="1">
      <c r="E114" s="361"/>
      <c r="F114" s="361"/>
      <c r="I114" s="361"/>
      <c r="R114" s="361"/>
    </row>
    <row r="115" spans="5:18" ht="18" customHeight="1">
      <c r="E115" s="361"/>
      <c r="F115" s="361"/>
      <c r="I115" s="361"/>
      <c r="R115" s="361"/>
    </row>
    <row r="116" spans="5:18" ht="18" customHeight="1">
      <c r="E116" s="361"/>
      <c r="F116" s="361"/>
      <c r="I116" s="361"/>
      <c r="R116" s="361"/>
    </row>
    <row r="117" spans="5:18" ht="18" customHeight="1">
      <c r="E117" s="361"/>
      <c r="F117" s="361"/>
      <c r="I117" s="361"/>
      <c r="R117" s="361"/>
    </row>
    <row r="118" spans="5:18" ht="18" customHeight="1">
      <c r="E118" s="361"/>
      <c r="F118" s="361"/>
      <c r="I118" s="361"/>
      <c r="R118" s="361"/>
    </row>
    <row r="119" spans="5:18" ht="18" customHeight="1">
      <c r="E119" s="361"/>
      <c r="F119" s="361"/>
      <c r="I119" s="361"/>
      <c r="R119" s="361"/>
    </row>
    <row r="120" spans="5:18" ht="18" customHeight="1">
      <c r="E120" s="361"/>
      <c r="F120" s="361"/>
      <c r="I120" s="361"/>
      <c r="R120" s="361"/>
    </row>
    <row r="121" spans="5:18" ht="18" customHeight="1">
      <c r="E121" s="361"/>
      <c r="F121" s="361"/>
      <c r="I121" s="361"/>
      <c r="R121" s="361"/>
    </row>
    <row r="122" spans="5:18" ht="18" customHeight="1">
      <c r="E122" s="361"/>
      <c r="F122" s="361"/>
      <c r="I122" s="361"/>
      <c r="R122" s="361"/>
    </row>
    <row r="123" spans="5:18" ht="18" customHeight="1">
      <c r="E123" s="361"/>
      <c r="F123" s="361"/>
      <c r="I123" s="361"/>
      <c r="R123" s="361"/>
    </row>
    <row r="124" spans="5:18" ht="18" customHeight="1">
      <c r="E124" s="361"/>
      <c r="F124" s="361"/>
      <c r="I124" s="361"/>
      <c r="R124" s="361"/>
    </row>
    <row r="125" spans="5:18" ht="18" customHeight="1">
      <c r="E125" s="361"/>
      <c r="F125" s="361"/>
      <c r="I125" s="361"/>
      <c r="R125" s="361"/>
    </row>
    <row r="126" spans="5:18" ht="18" customHeight="1">
      <c r="E126" s="361"/>
      <c r="F126" s="361"/>
      <c r="I126" s="361"/>
      <c r="R126" s="361"/>
    </row>
    <row r="127" spans="5:18" ht="18" customHeight="1">
      <c r="E127" s="361"/>
      <c r="F127" s="361"/>
      <c r="I127" s="361"/>
      <c r="R127" s="361"/>
    </row>
    <row r="128" spans="5:18" ht="18" customHeight="1">
      <c r="E128" s="361"/>
      <c r="F128" s="361"/>
      <c r="I128" s="361"/>
      <c r="R128" s="361"/>
    </row>
    <row r="129" spans="5:18" ht="18" customHeight="1">
      <c r="E129" s="361"/>
      <c r="F129" s="361"/>
      <c r="I129" s="361"/>
      <c r="R129" s="361"/>
    </row>
    <row r="130" spans="5:18" ht="18" customHeight="1">
      <c r="E130" s="361"/>
      <c r="F130" s="361"/>
      <c r="I130" s="361"/>
      <c r="R130" s="361"/>
    </row>
    <row r="131" spans="5:18" ht="18" customHeight="1">
      <c r="E131" s="361"/>
      <c r="F131" s="361"/>
      <c r="I131" s="361"/>
      <c r="R131" s="361"/>
    </row>
    <row r="132" spans="5:18" ht="18" customHeight="1">
      <c r="E132" s="361"/>
      <c r="F132" s="361"/>
      <c r="I132" s="361"/>
      <c r="R132" s="361"/>
    </row>
    <row r="133" spans="5:18" ht="18" customHeight="1">
      <c r="E133" s="361"/>
      <c r="F133" s="361"/>
      <c r="I133" s="361"/>
      <c r="R133" s="361"/>
    </row>
    <row r="134" spans="5:18" ht="18" customHeight="1">
      <c r="E134" s="361"/>
      <c r="F134" s="361"/>
      <c r="I134" s="361"/>
      <c r="R134" s="361"/>
    </row>
    <row r="135" spans="5:18" ht="18" customHeight="1">
      <c r="E135" s="361"/>
      <c r="F135" s="361"/>
      <c r="I135" s="361"/>
      <c r="R135" s="361"/>
    </row>
    <row r="136" spans="5:18" ht="18" customHeight="1">
      <c r="E136" s="361"/>
      <c r="F136" s="361"/>
      <c r="I136" s="361"/>
      <c r="R136" s="361"/>
    </row>
    <row r="137" spans="5:18" ht="18" customHeight="1">
      <c r="E137" s="361"/>
      <c r="F137" s="361"/>
      <c r="I137" s="361"/>
      <c r="R137" s="361"/>
    </row>
    <row r="138" spans="5:18" ht="18" customHeight="1">
      <c r="E138" s="361"/>
      <c r="F138" s="361"/>
      <c r="I138" s="361"/>
      <c r="R138" s="361"/>
    </row>
    <row r="139" spans="5:18" ht="18" customHeight="1">
      <c r="E139" s="361"/>
      <c r="F139" s="361"/>
      <c r="I139" s="361"/>
      <c r="R139" s="361"/>
    </row>
    <row r="140" spans="5:18" ht="18" customHeight="1">
      <c r="E140" s="361"/>
      <c r="F140" s="361"/>
      <c r="I140" s="361"/>
      <c r="R140" s="361"/>
    </row>
    <row r="141" spans="5:18" ht="18" customHeight="1">
      <c r="E141" s="361"/>
      <c r="F141" s="361"/>
      <c r="I141" s="361"/>
      <c r="R141" s="361"/>
    </row>
    <row r="142" spans="5:18" ht="18" customHeight="1">
      <c r="E142" s="361"/>
      <c r="F142" s="361"/>
      <c r="I142" s="361"/>
      <c r="R142" s="361"/>
    </row>
    <row r="143" spans="5:18" ht="18" customHeight="1">
      <c r="E143" s="361"/>
      <c r="F143" s="361"/>
      <c r="I143" s="361"/>
      <c r="R143" s="361"/>
    </row>
    <row r="144" spans="5:18" ht="18" customHeight="1">
      <c r="E144" s="361"/>
      <c r="F144" s="361"/>
      <c r="I144" s="361"/>
      <c r="R144" s="361"/>
    </row>
    <row r="145" spans="5:18" ht="18" customHeight="1">
      <c r="E145" s="361"/>
      <c r="F145" s="361"/>
      <c r="I145" s="361"/>
      <c r="R145" s="361"/>
    </row>
    <row r="146" spans="5:18" ht="18" customHeight="1">
      <c r="E146" s="361"/>
      <c r="F146" s="361"/>
      <c r="I146" s="361"/>
      <c r="R146" s="361"/>
    </row>
    <row r="147" spans="5:18" ht="18" customHeight="1">
      <c r="E147" s="361"/>
      <c r="F147" s="361"/>
      <c r="I147" s="361"/>
      <c r="R147" s="361"/>
    </row>
    <row r="148" spans="5:18" ht="18" customHeight="1">
      <c r="E148" s="361"/>
      <c r="F148" s="361"/>
      <c r="I148" s="361"/>
      <c r="R148" s="361"/>
    </row>
    <row r="149" spans="5:18" ht="18" customHeight="1">
      <c r="E149" s="361"/>
      <c r="F149" s="361"/>
      <c r="I149" s="361"/>
      <c r="R149" s="361"/>
    </row>
    <row r="150" spans="5:18" ht="18" customHeight="1">
      <c r="E150" s="361"/>
      <c r="F150" s="361"/>
      <c r="I150" s="361"/>
      <c r="R150" s="361"/>
    </row>
    <row r="151" spans="5:18" ht="18" customHeight="1">
      <c r="E151" s="361"/>
      <c r="F151" s="361"/>
      <c r="I151" s="361"/>
      <c r="R151" s="361"/>
    </row>
    <row r="152" spans="5:18" ht="18" customHeight="1">
      <c r="E152" s="361"/>
      <c r="F152" s="361"/>
      <c r="I152" s="361"/>
      <c r="R152" s="361"/>
    </row>
    <row r="153" spans="5:18" ht="18" customHeight="1">
      <c r="E153" s="361"/>
      <c r="F153" s="361"/>
      <c r="I153" s="361"/>
      <c r="R153" s="361"/>
    </row>
    <row r="154" spans="5:18" ht="18" customHeight="1">
      <c r="E154" s="361"/>
      <c r="F154" s="361"/>
      <c r="I154" s="361"/>
      <c r="R154" s="361"/>
    </row>
    <row r="155" spans="5:18" ht="18" customHeight="1">
      <c r="E155" s="361"/>
      <c r="F155" s="361"/>
      <c r="I155" s="361"/>
      <c r="R155" s="361"/>
    </row>
    <row r="156" spans="5:18" ht="18" customHeight="1">
      <c r="E156" s="361"/>
      <c r="F156" s="361"/>
      <c r="I156" s="361"/>
      <c r="R156" s="361"/>
    </row>
    <row r="157" spans="5:18" ht="18" customHeight="1">
      <c r="E157" s="361"/>
      <c r="F157" s="361"/>
      <c r="I157" s="361"/>
      <c r="R157" s="361"/>
    </row>
    <row r="158" spans="5:18" ht="18" customHeight="1">
      <c r="E158" s="361"/>
      <c r="F158" s="361"/>
      <c r="I158" s="361"/>
      <c r="R158" s="361"/>
    </row>
    <row r="159" spans="5:18" ht="18" customHeight="1">
      <c r="E159" s="361"/>
      <c r="F159" s="361"/>
      <c r="I159" s="361"/>
      <c r="R159" s="361"/>
    </row>
    <row r="160" spans="5:18" ht="18" customHeight="1">
      <c r="E160" s="361"/>
      <c r="F160" s="361"/>
      <c r="I160" s="361"/>
      <c r="R160" s="361"/>
    </row>
    <row r="161" spans="5:18" ht="18" customHeight="1">
      <c r="E161" s="361"/>
      <c r="F161" s="361"/>
      <c r="I161" s="361"/>
      <c r="R161" s="361"/>
    </row>
    <row r="162" spans="5:18" ht="18" customHeight="1">
      <c r="E162" s="361"/>
      <c r="F162" s="361"/>
      <c r="I162" s="361"/>
      <c r="R162" s="361"/>
    </row>
    <row r="163" spans="5:18" ht="18" customHeight="1">
      <c r="E163" s="361"/>
      <c r="F163" s="361"/>
      <c r="I163" s="361"/>
      <c r="R163" s="361"/>
    </row>
    <row r="164" spans="5:18" ht="18" customHeight="1">
      <c r="E164" s="361"/>
      <c r="F164" s="361"/>
      <c r="I164" s="361"/>
      <c r="R164" s="361"/>
    </row>
    <row r="165" spans="5:18" ht="18" customHeight="1">
      <c r="E165" s="361"/>
      <c r="F165" s="361"/>
      <c r="I165" s="361"/>
      <c r="R165" s="361"/>
    </row>
    <row r="166" spans="5:18" ht="18" customHeight="1">
      <c r="E166" s="361"/>
      <c r="F166" s="361"/>
      <c r="I166" s="361"/>
      <c r="R166" s="361"/>
    </row>
    <row r="167" spans="5:18" ht="18" customHeight="1">
      <c r="E167" s="361"/>
      <c r="F167" s="361"/>
      <c r="I167" s="361"/>
      <c r="R167" s="361"/>
    </row>
    <row r="168" spans="5:18" ht="18" customHeight="1">
      <c r="E168" s="361"/>
      <c r="F168" s="361"/>
      <c r="I168" s="361"/>
      <c r="R168" s="361"/>
    </row>
    <row r="169" spans="5:18" ht="18" customHeight="1">
      <c r="E169" s="361"/>
      <c r="F169" s="361"/>
      <c r="I169" s="361"/>
      <c r="R169" s="361"/>
    </row>
    <row r="170" spans="5:18" ht="18" customHeight="1">
      <c r="E170" s="361"/>
      <c r="F170" s="361"/>
      <c r="I170" s="361"/>
      <c r="R170" s="361"/>
    </row>
    <row r="171" spans="5:18" ht="18" customHeight="1">
      <c r="E171" s="361"/>
      <c r="F171" s="361"/>
      <c r="I171" s="361"/>
      <c r="R171" s="361"/>
    </row>
    <row r="172" spans="5:18" ht="18" customHeight="1">
      <c r="E172" s="361"/>
      <c r="F172" s="361"/>
      <c r="I172" s="361"/>
      <c r="R172" s="361"/>
    </row>
    <row r="173" spans="5:18" ht="18" customHeight="1">
      <c r="E173" s="361"/>
      <c r="F173" s="361"/>
      <c r="I173" s="361"/>
      <c r="R173" s="361"/>
    </row>
    <row r="174" spans="5:18" ht="18" customHeight="1">
      <c r="E174" s="361"/>
      <c r="F174" s="361"/>
      <c r="I174" s="361"/>
      <c r="R174" s="361"/>
    </row>
    <row r="175" spans="5:18" ht="18" customHeight="1">
      <c r="E175" s="361"/>
      <c r="F175" s="361"/>
      <c r="I175" s="361"/>
      <c r="R175" s="361"/>
    </row>
  </sheetData>
  <mergeCells count="20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33333333333334" bottom="0.8555555555555556" header="0.5902777777777778" footer="0.5902777777777778"/>
  <pageSetup horizontalDpi="300" verticalDpi="300" orientation="landscape" paperSize="9" scale="72"/>
  <headerFooter alignWithMargins="0">
    <oddHeader>&amp;R&amp;"Times New Roman,Normalny"&amp;12Załącznik Nr 19 do projektu uchwały Nr .. Rady Miejskiej w Barlinku z dnia ........grudnia 2010</oddHeader>
    <oddFooter>&amp;C&amp;"Times New Roman,Normalny"&amp;12Strona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defaultGridColor="0" view="pageBreakPreview" zoomScaleSheetLayoutView="100" colorId="15" workbookViewId="0" topLeftCell="A30">
      <selection activeCell="A49" sqref="A49"/>
    </sheetView>
  </sheetViews>
  <sheetFormatPr defaultColWidth="9.00390625" defaultRowHeight="12.75"/>
  <cols>
    <col min="1" max="1" width="5.125" style="374" customWidth="1"/>
    <col min="2" max="2" width="6.00390625" style="374" customWidth="1"/>
    <col min="3" max="3" width="5.875" style="374" customWidth="1"/>
    <col min="4" max="4" width="47.125" style="374" customWidth="1"/>
    <col min="5" max="5" width="11.625" style="374" customWidth="1"/>
    <col min="6" max="9" width="9.50390625" style="374" customWidth="1"/>
    <col min="10" max="10" width="6.625" style="374" customWidth="1"/>
    <col min="11" max="11" width="6.75390625" style="374" customWidth="1"/>
    <col min="12" max="12" width="6.875" style="374" customWidth="1"/>
    <col min="13" max="17" width="6.375" style="374" customWidth="1"/>
    <col min="18" max="18" width="7.25390625" style="374" customWidth="1"/>
    <col min="19" max="16384" width="9.125" style="374" customWidth="1"/>
  </cols>
  <sheetData>
    <row r="1" spans="2:18" ht="30.75" customHeight="1">
      <c r="B1" s="129" t="s">
        <v>477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0.5" customHeight="1">
      <c r="A2" s="339" t="s">
        <v>66</v>
      </c>
      <c r="B2" s="339" t="s">
        <v>86</v>
      </c>
      <c r="C2" s="339" t="s">
        <v>87</v>
      </c>
      <c r="D2" s="339" t="s">
        <v>251</v>
      </c>
      <c r="E2" s="339" t="s">
        <v>252</v>
      </c>
      <c r="F2" s="340" t="s">
        <v>253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1:18" ht="11.25" customHeight="1">
      <c r="A3" s="339"/>
      <c r="B3" s="339"/>
      <c r="C3" s="339"/>
      <c r="D3" s="339"/>
      <c r="E3" s="339"/>
      <c r="F3" s="256" t="s">
        <v>242</v>
      </c>
      <c r="G3" s="255" t="s">
        <v>90</v>
      </c>
      <c r="H3" s="255"/>
      <c r="I3" s="255"/>
      <c r="J3" s="255"/>
      <c r="K3" s="255"/>
      <c r="L3" s="255"/>
      <c r="M3" s="255"/>
      <c r="N3" s="255"/>
      <c r="O3" s="254" t="s">
        <v>254</v>
      </c>
      <c r="P3" s="255" t="s">
        <v>90</v>
      </c>
      <c r="Q3" s="255"/>
      <c r="R3" s="255"/>
    </row>
    <row r="4" spans="1:18" ht="11.25" customHeight="1">
      <c r="A4" s="339"/>
      <c r="B4" s="339"/>
      <c r="C4" s="339"/>
      <c r="D4" s="339"/>
      <c r="E4" s="339"/>
      <c r="F4" s="256"/>
      <c r="G4" s="256" t="s">
        <v>255</v>
      </c>
      <c r="H4" s="255" t="s">
        <v>13</v>
      </c>
      <c r="I4" s="255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254"/>
      <c r="P4" s="254" t="s">
        <v>260</v>
      </c>
      <c r="Q4" s="255" t="s">
        <v>90</v>
      </c>
      <c r="R4" s="254" t="s">
        <v>261</v>
      </c>
    </row>
    <row r="5" spans="1:18" ht="147">
      <c r="A5" s="339"/>
      <c r="B5" s="339"/>
      <c r="C5" s="339"/>
      <c r="D5" s="339"/>
      <c r="E5" s="339"/>
      <c r="F5" s="256"/>
      <c r="G5" s="256"/>
      <c r="H5" s="254" t="s">
        <v>262</v>
      </c>
      <c r="I5" s="254" t="s">
        <v>263</v>
      </c>
      <c r="J5" s="254"/>
      <c r="K5" s="254"/>
      <c r="L5" s="254"/>
      <c r="M5" s="254"/>
      <c r="N5" s="254"/>
      <c r="O5" s="254"/>
      <c r="P5" s="254"/>
      <c r="Q5" s="256" t="s">
        <v>264</v>
      </c>
      <c r="R5" s="254"/>
    </row>
    <row r="6" spans="1:18" ht="10.5" customHeight="1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1">
        <v>9</v>
      </c>
      <c r="J6" s="341">
        <v>10</v>
      </c>
      <c r="K6" s="341">
        <v>11</v>
      </c>
      <c r="L6" s="341">
        <v>12</v>
      </c>
      <c r="M6" s="341">
        <v>13</v>
      </c>
      <c r="N6" s="341">
        <v>14</v>
      </c>
      <c r="O6" s="341">
        <v>15</v>
      </c>
      <c r="P6" s="341">
        <v>16</v>
      </c>
      <c r="Q6" s="341">
        <v>17</v>
      </c>
      <c r="R6" s="341">
        <v>18</v>
      </c>
    </row>
    <row r="7" spans="1:18" ht="16.5" customHeight="1">
      <c r="A7" s="343">
        <v>801</v>
      </c>
      <c r="B7" s="343"/>
      <c r="C7" s="343"/>
      <c r="D7" s="343" t="s">
        <v>180</v>
      </c>
      <c r="E7" s="344">
        <f>E29+E35+E49+E8</f>
        <v>3010855</v>
      </c>
      <c r="F7" s="344">
        <f>F29+F35+F49+F8</f>
        <v>3010855</v>
      </c>
      <c r="G7" s="344">
        <f>G29+G35+G49+G8</f>
        <v>2999963</v>
      </c>
      <c r="H7" s="344">
        <f>H29+H35+H49+H8</f>
        <v>2220382</v>
      </c>
      <c r="I7" s="344">
        <f>I29+I35+I49+I8</f>
        <v>779581</v>
      </c>
      <c r="J7" s="344">
        <f>J29+J35+J49+J8</f>
        <v>0</v>
      </c>
      <c r="K7" s="344">
        <f>K29+K35+K49+K8</f>
        <v>10892</v>
      </c>
      <c r="L7" s="344">
        <f>L29+L35+L49+L8</f>
        <v>0</v>
      </c>
      <c r="M7" s="344">
        <f>M29+M35+M49+M8</f>
        <v>0</v>
      </c>
      <c r="N7" s="344">
        <f>N29+N35+N49+N8</f>
        <v>0</v>
      </c>
      <c r="O7" s="344">
        <f>O29+O35+O49+O8</f>
        <v>0</v>
      </c>
      <c r="P7" s="344">
        <f>P29+P35+P49+P8</f>
        <v>0</v>
      </c>
      <c r="Q7" s="344">
        <f>Q29+Q35+Q49+Q8</f>
        <v>0</v>
      </c>
      <c r="R7" s="344">
        <f>R29+R35+R49+R8</f>
        <v>0</v>
      </c>
    </row>
    <row r="8" spans="1:18" ht="16.5" customHeight="1">
      <c r="A8" s="345"/>
      <c r="B8" s="345">
        <v>80110</v>
      </c>
      <c r="C8" s="345"/>
      <c r="D8" s="346" t="s">
        <v>190</v>
      </c>
      <c r="E8" s="347">
        <f>SUM(E9:E28)</f>
        <v>2718487</v>
      </c>
      <c r="F8" s="347">
        <f>SUM(F9:F28)</f>
        <v>2718487</v>
      </c>
      <c r="G8" s="347">
        <f>SUM(G9:G28)</f>
        <v>2707595</v>
      </c>
      <c r="H8" s="347">
        <f>SUM(H9:H28)</f>
        <v>2132586</v>
      </c>
      <c r="I8" s="347">
        <f>SUM(I9:I28)</f>
        <v>575009</v>
      </c>
      <c r="J8" s="347">
        <f>SUM(J9:J28)</f>
        <v>0</v>
      </c>
      <c r="K8" s="347">
        <f>SUM(K9:K28)</f>
        <v>10892</v>
      </c>
      <c r="L8" s="347">
        <f>SUM(L9:L28)</f>
        <v>0</v>
      </c>
      <c r="M8" s="347">
        <f>SUM(M9:M28)</f>
        <v>0</v>
      </c>
      <c r="N8" s="347">
        <f>SUM(N9:N28)</f>
        <v>0</v>
      </c>
      <c r="O8" s="347">
        <f>SUM(O9:O28)</f>
        <v>0</v>
      </c>
      <c r="P8" s="347">
        <f>SUM(P9:P28)</f>
        <v>0</v>
      </c>
      <c r="Q8" s="347">
        <f>SUM(Q9:Q28)</f>
        <v>0</v>
      </c>
      <c r="R8" s="347">
        <f>SUM(R9:R28)</f>
        <v>0</v>
      </c>
    </row>
    <row r="9" spans="1:18" ht="17.25" customHeight="1">
      <c r="A9" s="345"/>
      <c r="B9" s="345"/>
      <c r="C9" s="352">
        <v>3020</v>
      </c>
      <c r="D9" s="353" t="s">
        <v>345</v>
      </c>
      <c r="E9" s="363">
        <f>F9+O9</f>
        <v>8392</v>
      </c>
      <c r="F9" s="363">
        <f>G9+J9+K9+L9+M9+N9</f>
        <v>8392</v>
      </c>
      <c r="G9" s="363"/>
      <c r="H9" s="384">
        <v>0</v>
      </c>
      <c r="I9" s="384">
        <v>0</v>
      </c>
      <c r="J9" s="384">
        <v>0</v>
      </c>
      <c r="K9" s="384">
        <v>8392</v>
      </c>
      <c r="L9" s="354"/>
      <c r="M9" s="354"/>
      <c r="N9" s="354"/>
      <c r="O9" s="354"/>
      <c r="P9" s="419"/>
      <c r="Q9" s="419"/>
      <c r="R9" s="354"/>
    </row>
    <row r="10" spans="1:18" ht="17.25" customHeight="1">
      <c r="A10" s="345"/>
      <c r="B10" s="352"/>
      <c r="C10" s="352">
        <v>3240</v>
      </c>
      <c r="D10" s="353" t="s">
        <v>357</v>
      </c>
      <c r="E10" s="363">
        <f>F10+O10</f>
        <v>2500</v>
      </c>
      <c r="F10" s="363">
        <f>G10+J10+K10+L10+M10+N10</f>
        <v>2500</v>
      </c>
      <c r="G10" s="363"/>
      <c r="H10" s="384">
        <v>0</v>
      </c>
      <c r="I10" s="384"/>
      <c r="J10" s="384"/>
      <c r="K10" s="384">
        <f>1500+1000</f>
        <v>2500</v>
      </c>
      <c r="L10" s="354"/>
      <c r="M10" s="354"/>
      <c r="N10" s="354"/>
      <c r="O10" s="354"/>
      <c r="P10" s="419"/>
      <c r="Q10" s="419"/>
      <c r="R10" s="354"/>
    </row>
    <row r="11" spans="1:18" ht="17.25" customHeight="1">
      <c r="A11" s="345"/>
      <c r="B11" s="352"/>
      <c r="C11" s="352">
        <v>4010</v>
      </c>
      <c r="D11" s="353" t="s">
        <v>328</v>
      </c>
      <c r="E11" s="363">
        <f>F11+O11</f>
        <v>1639350</v>
      </c>
      <c r="F11" s="363">
        <f>G11+J11+K11+L11+M11+N11</f>
        <v>1639350</v>
      </c>
      <c r="G11" s="363">
        <f>H11+I11</f>
        <v>1639350</v>
      </c>
      <c r="H11" s="384">
        <f>(188996+11671+29141)+1011892+(187093+160465+11400+400+1680+3548+28866+4198)</f>
        <v>1639350</v>
      </c>
      <c r="I11" s="384"/>
      <c r="J11" s="384"/>
      <c r="K11" s="384"/>
      <c r="L11" s="354"/>
      <c r="M11" s="354"/>
      <c r="N11" s="354"/>
      <c r="O11" s="354"/>
      <c r="P11" s="419"/>
      <c r="Q11" s="419"/>
      <c r="R11" s="354"/>
    </row>
    <row r="12" spans="1:18" ht="17.25" customHeight="1">
      <c r="A12" s="345"/>
      <c r="B12" s="352"/>
      <c r="C12" s="352">
        <v>4040</v>
      </c>
      <c r="D12" s="353" t="s">
        <v>346</v>
      </c>
      <c r="E12" s="363">
        <f>F12+O12</f>
        <v>138246</v>
      </c>
      <c r="F12" s="363">
        <f>G12+J12+K12+L12+M12+N12</f>
        <v>138246</v>
      </c>
      <c r="G12" s="363">
        <f>H12+I12</f>
        <v>138246</v>
      </c>
      <c r="H12" s="384">
        <v>138246</v>
      </c>
      <c r="I12" s="384"/>
      <c r="J12" s="384"/>
      <c r="K12" s="384"/>
      <c r="L12" s="354"/>
      <c r="M12" s="354"/>
      <c r="N12" s="354"/>
      <c r="O12" s="354"/>
      <c r="P12" s="419"/>
      <c r="Q12" s="419"/>
      <c r="R12" s="354"/>
    </row>
    <row r="13" spans="1:18" ht="17.25" customHeight="1">
      <c r="A13" s="345"/>
      <c r="B13" s="352"/>
      <c r="C13" s="352">
        <v>4110</v>
      </c>
      <c r="D13" s="353" t="s">
        <v>347</v>
      </c>
      <c r="E13" s="363">
        <f>F13+O13</f>
        <v>282638</v>
      </c>
      <c r="F13" s="363">
        <f>G13+J13+K13+L13+M13+N13</f>
        <v>282638</v>
      </c>
      <c r="G13" s="363">
        <f>H13+I13</f>
        <v>282638</v>
      </c>
      <c r="H13" s="363">
        <v>282638</v>
      </c>
      <c r="I13" s="384"/>
      <c r="J13" s="384"/>
      <c r="K13" s="384"/>
      <c r="L13" s="354"/>
      <c r="M13" s="354"/>
      <c r="N13" s="354"/>
      <c r="O13" s="354"/>
      <c r="P13" s="419"/>
      <c r="Q13" s="419"/>
      <c r="R13" s="354"/>
    </row>
    <row r="14" spans="1:18" ht="17.25" customHeight="1">
      <c r="A14" s="345"/>
      <c r="B14" s="352"/>
      <c r="C14" s="352">
        <v>4120</v>
      </c>
      <c r="D14" s="353" t="s">
        <v>348</v>
      </c>
      <c r="E14" s="363">
        <f>F14+O14</f>
        <v>43552</v>
      </c>
      <c r="F14" s="363">
        <f>G14+J14+K14+L14+M14+N14</f>
        <v>43552</v>
      </c>
      <c r="G14" s="363">
        <f>H14+I14</f>
        <v>43552</v>
      </c>
      <c r="H14" s="363">
        <v>43552</v>
      </c>
      <c r="I14" s="384"/>
      <c r="J14" s="384"/>
      <c r="K14" s="384"/>
      <c r="L14" s="354"/>
      <c r="M14" s="354"/>
      <c r="N14" s="354"/>
      <c r="O14" s="354"/>
      <c r="P14" s="419"/>
      <c r="Q14" s="419"/>
      <c r="R14" s="354"/>
    </row>
    <row r="15" spans="1:18" ht="17.25" customHeight="1">
      <c r="A15" s="345"/>
      <c r="B15" s="352"/>
      <c r="C15" s="352">
        <v>4170</v>
      </c>
      <c r="D15" s="353" t="s">
        <v>471</v>
      </c>
      <c r="E15" s="363">
        <f>F15+O15</f>
        <v>28800</v>
      </c>
      <c r="F15" s="363">
        <f>G15+J15+K15+L15+M15+N15</f>
        <v>28800</v>
      </c>
      <c r="G15" s="363">
        <f>H15+I15</f>
        <v>28800</v>
      </c>
      <c r="H15" s="384">
        <v>28800</v>
      </c>
      <c r="I15" s="384"/>
      <c r="J15" s="384"/>
      <c r="K15" s="384"/>
      <c r="L15" s="354"/>
      <c r="M15" s="354"/>
      <c r="N15" s="354"/>
      <c r="O15" s="354"/>
      <c r="P15" s="419"/>
      <c r="Q15" s="419"/>
      <c r="R15" s="354"/>
    </row>
    <row r="16" spans="1:18" ht="17.25" customHeight="1">
      <c r="A16" s="345"/>
      <c r="B16" s="352"/>
      <c r="C16" s="352">
        <v>4210</v>
      </c>
      <c r="D16" s="353" t="s">
        <v>339</v>
      </c>
      <c r="E16" s="363">
        <f>F16+O16</f>
        <v>32902</v>
      </c>
      <c r="F16" s="363">
        <f>G16+J16+K16+L16+M16+N16</f>
        <v>32902</v>
      </c>
      <c r="G16" s="363">
        <f>H16+I16</f>
        <v>32902</v>
      </c>
      <c r="H16" s="384"/>
      <c r="I16" s="384">
        <f>28000+800+4000+102</f>
        <v>32902</v>
      </c>
      <c r="J16" s="384"/>
      <c r="K16" s="384"/>
      <c r="L16" s="354"/>
      <c r="M16" s="354"/>
      <c r="N16" s="354"/>
      <c r="O16" s="354"/>
      <c r="P16" s="419"/>
      <c r="Q16" s="419"/>
      <c r="R16" s="354"/>
    </row>
    <row r="17" spans="1:18" ht="17.25" customHeight="1">
      <c r="A17" s="345"/>
      <c r="B17" s="352"/>
      <c r="C17" s="352">
        <v>4240</v>
      </c>
      <c r="D17" s="353" t="s">
        <v>340</v>
      </c>
      <c r="E17" s="363">
        <f>F17+O17</f>
        <v>11300</v>
      </c>
      <c r="F17" s="363">
        <f>G17+J17+K17+L17+M17+N17</f>
        <v>11300</v>
      </c>
      <c r="G17" s="363">
        <f>H17+I17</f>
        <v>11300</v>
      </c>
      <c r="H17" s="384"/>
      <c r="I17" s="384">
        <f>10000+100+1000+200</f>
        <v>11300</v>
      </c>
      <c r="J17" s="384"/>
      <c r="K17" s="384"/>
      <c r="L17" s="354"/>
      <c r="M17" s="354"/>
      <c r="N17" s="354"/>
      <c r="O17" s="354"/>
      <c r="P17" s="419"/>
      <c r="Q17" s="419"/>
      <c r="R17" s="354"/>
    </row>
    <row r="18" spans="1:18" ht="17.25" customHeight="1">
      <c r="A18" s="345"/>
      <c r="B18" s="352"/>
      <c r="C18" s="352">
        <v>4260</v>
      </c>
      <c r="D18" s="353" t="s">
        <v>349</v>
      </c>
      <c r="E18" s="363">
        <f>F18+O18</f>
        <v>280000</v>
      </c>
      <c r="F18" s="363">
        <f>G18+J18+K18+L18+M18+N18</f>
        <v>280000</v>
      </c>
      <c r="G18" s="363">
        <f>H18+I18</f>
        <v>280000</v>
      </c>
      <c r="H18" s="384"/>
      <c r="I18" s="384">
        <v>280000</v>
      </c>
      <c r="J18" s="384"/>
      <c r="K18" s="384"/>
      <c r="L18" s="354"/>
      <c r="M18" s="354"/>
      <c r="N18" s="354"/>
      <c r="O18" s="354"/>
      <c r="P18" s="419"/>
      <c r="Q18" s="419"/>
      <c r="R18" s="354"/>
    </row>
    <row r="19" spans="1:18" ht="17.25" customHeight="1">
      <c r="A19" s="345"/>
      <c r="B19" s="352"/>
      <c r="C19" s="352">
        <v>4270</v>
      </c>
      <c r="D19" s="353" t="s">
        <v>294</v>
      </c>
      <c r="E19" s="363">
        <f>F19+O19</f>
        <v>10000</v>
      </c>
      <c r="F19" s="363">
        <f>G19+J19+K19+L19+M19+N19</f>
        <v>10000</v>
      </c>
      <c r="G19" s="363">
        <f>H19+I19</f>
        <v>10000</v>
      </c>
      <c r="H19" s="384"/>
      <c r="I19" s="384">
        <v>10000</v>
      </c>
      <c r="J19" s="384"/>
      <c r="K19" s="384"/>
      <c r="L19" s="354"/>
      <c r="M19" s="354"/>
      <c r="N19" s="354"/>
      <c r="O19" s="354"/>
      <c r="P19" s="419"/>
      <c r="Q19" s="419"/>
      <c r="R19" s="354"/>
    </row>
    <row r="20" spans="1:18" ht="17.25" customHeight="1">
      <c r="A20" s="345"/>
      <c r="B20" s="352"/>
      <c r="C20" s="352">
        <v>4280</v>
      </c>
      <c r="D20" s="353" t="s">
        <v>341</v>
      </c>
      <c r="E20" s="363">
        <f>F20+O20</f>
        <v>100</v>
      </c>
      <c r="F20" s="363">
        <f>G20+J20+K20+L20+M20+N20</f>
        <v>100</v>
      </c>
      <c r="G20" s="363">
        <f>H20+I20</f>
        <v>100</v>
      </c>
      <c r="H20" s="384"/>
      <c r="I20" s="384">
        <v>100</v>
      </c>
      <c r="J20" s="384"/>
      <c r="K20" s="384"/>
      <c r="L20" s="354"/>
      <c r="M20" s="354"/>
      <c r="N20" s="354"/>
      <c r="O20" s="354"/>
      <c r="P20" s="419"/>
      <c r="Q20" s="419"/>
      <c r="R20" s="354"/>
    </row>
    <row r="21" spans="1:18" ht="17.25" customHeight="1">
      <c r="A21" s="345"/>
      <c r="B21" s="352"/>
      <c r="C21" s="352">
        <v>4300</v>
      </c>
      <c r="D21" s="353" t="s">
        <v>350</v>
      </c>
      <c r="E21" s="363">
        <f>F21+O21</f>
        <v>130341</v>
      </c>
      <c r="F21" s="363">
        <f>G21+J21+K21+L21+M21+N21</f>
        <v>130341</v>
      </c>
      <c r="G21" s="363">
        <f>H21+I21</f>
        <v>130341</v>
      </c>
      <c r="H21" s="384"/>
      <c r="I21" s="384">
        <f>128540+101+1500+200</f>
        <v>130341</v>
      </c>
      <c r="J21" s="384"/>
      <c r="K21" s="384"/>
      <c r="L21" s="354"/>
      <c r="M21" s="354"/>
      <c r="N21" s="354"/>
      <c r="O21" s="354"/>
      <c r="P21" s="419"/>
      <c r="Q21" s="419"/>
      <c r="R21" s="354"/>
    </row>
    <row r="22" spans="1:18" ht="17.25" customHeight="1">
      <c r="A22" s="345"/>
      <c r="B22" s="352"/>
      <c r="C22" s="352">
        <v>4350</v>
      </c>
      <c r="D22" s="353" t="s">
        <v>351</v>
      </c>
      <c r="E22" s="363">
        <f>F22+O22</f>
        <v>500</v>
      </c>
      <c r="F22" s="363">
        <f>G22+J22+K22+L22+M22+N22</f>
        <v>500</v>
      </c>
      <c r="G22" s="363">
        <f>H22+I22</f>
        <v>500</v>
      </c>
      <c r="H22" s="384"/>
      <c r="I22" s="384">
        <v>500</v>
      </c>
      <c r="J22" s="384"/>
      <c r="K22" s="384"/>
      <c r="L22" s="354"/>
      <c r="M22" s="354"/>
      <c r="N22" s="354"/>
      <c r="O22" s="354"/>
      <c r="P22" s="419"/>
      <c r="Q22" s="419"/>
      <c r="R22" s="354"/>
    </row>
    <row r="23" spans="1:18" ht="17.25" customHeight="1">
      <c r="A23" s="345"/>
      <c r="B23" s="352"/>
      <c r="C23" s="352">
        <v>4370</v>
      </c>
      <c r="D23" s="353" t="s">
        <v>352</v>
      </c>
      <c r="E23" s="363">
        <f>F23+O23</f>
        <v>3000</v>
      </c>
      <c r="F23" s="363">
        <f>G23+J23+K23+L23+M23+N23</f>
        <v>3000</v>
      </c>
      <c r="G23" s="363">
        <f>H23+I23</f>
        <v>3000</v>
      </c>
      <c r="H23" s="384"/>
      <c r="I23" s="384">
        <v>3000</v>
      </c>
      <c r="J23" s="384"/>
      <c r="K23" s="384"/>
      <c r="L23" s="354"/>
      <c r="M23" s="354"/>
      <c r="N23" s="354"/>
      <c r="O23" s="354"/>
      <c r="P23" s="419"/>
      <c r="Q23" s="419"/>
      <c r="R23" s="354"/>
    </row>
    <row r="24" spans="1:18" ht="17.25" customHeight="1">
      <c r="A24" s="345"/>
      <c r="B24" s="352"/>
      <c r="C24" s="352">
        <v>4410</v>
      </c>
      <c r="D24" s="353" t="s">
        <v>353</v>
      </c>
      <c r="E24" s="363">
        <f>F24+O24</f>
        <v>1000</v>
      </c>
      <c r="F24" s="363">
        <f>G24+J24+K24+L24+M24+N24</f>
        <v>1000</v>
      </c>
      <c r="G24" s="363">
        <f>H24+I24</f>
        <v>1000</v>
      </c>
      <c r="H24" s="384"/>
      <c r="I24" s="384">
        <v>1000</v>
      </c>
      <c r="J24" s="384"/>
      <c r="K24" s="384"/>
      <c r="L24" s="354"/>
      <c r="M24" s="354"/>
      <c r="N24" s="354"/>
      <c r="O24" s="354"/>
      <c r="P24" s="419"/>
      <c r="Q24" s="419"/>
      <c r="R24" s="354"/>
    </row>
    <row r="25" spans="1:18" ht="17.25" customHeight="1">
      <c r="A25" s="345"/>
      <c r="B25" s="352"/>
      <c r="C25" s="352">
        <v>4430</v>
      </c>
      <c r="D25" s="353" t="s">
        <v>354</v>
      </c>
      <c r="E25" s="363">
        <f>F25+O25</f>
        <v>5000</v>
      </c>
      <c r="F25" s="363">
        <f>G25+J25+K25+L25+M25+N25</f>
        <v>5000</v>
      </c>
      <c r="G25" s="363">
        <f>H25+I25</f>
        <v>5000</v>
      </c>
      <c r="H25" s="363"/>
      <c r="I25" s="384">
        <v>5000</v>
      </c>
      <c r="J25" s="363"/>
      <c r="K25" s="363"/>
      <c r="L25" s="354"/>
      <c r="M25" s="354"/>
      <c r="N25" s="354"/>
      <c r="O25" s="354"/>
      <c r="P25" s="419"/>
      <c r="Q25" s="419"/>
      <c r="R25" s="354"/>
    </row>
    <row r="26" spans="1:18" ht="17.25" customHeight="1">
      <c r="A26" s="345"/>
      <c r="B26" s="352"/>
      <c r="C26" s="352">
        <v>4440</v>
      </c>
      <c r="D26" s="353" t="s">
        <v>303</v>
      </c>
      <c r="E26" s="363">
        <f>F26+O26</f>
        <v>99366</v>
      </c>
      <c r="F26" s="363">
        <f>G26+J26+K26+L26+M26+N26</f>
        <v>99366</v>
      </c>
      <c r="G26" s="363">
        <f>H26+I26</f>
        <v>99366</v>
      </c>
      <c r="H26" s="384"/>
      <c r="I26" s="384">
        <v>99366</v>
      </c>
      <c r="J26" s="384"/>
      <c r="K26" s="384"/>
      <c r="L26" s="354"/>
      <c r="M26" s="354"/>
      <c r="N26" s="354"/>
      <c r="O26" s="354"/>
      <c r="P26" s="419"/>
      <c r="Q26" s="419"/>
      <c r="R26" s="354"/>
    </row>
    <row r="27" spans="1:18" ht="27" customHeight="1">
      <c r="A27" s="345"/>
      <c r="B27" s="352"/>
      <c r="C27" s="352">
        <v>4700</v>
      </c>
      <c r="D27" s="350" t="s">
        <v>355</v>
      </c>
      <c r="E27" s="363">
        <f>F27+O27</f>
        <v>1500</v>
      </c>
      <c r="F27" s="363">
        <f>G27+J27+K27+L27+M27+N27</f>
        <v>1500</v>
      </c>
      <c r="G27" s="363">
        <f>H27+I27</f>
        <v>1500</v>
      </c>
      <c r="H27" s="363"/>
      <c r="I27" s="384">
        <v>1500</v>
      </c>
      <c r="J27" s="363"/>
      <c r="K27" s="363"/>
      <c r="L27" s="354"/>
      <c r="M27" s="354"/>
      <c r="N27" s="354"/>
      <c r="O27" s="354"/>
      <c r="P27" s="419"/>
      <c r="Q27" s="419"/>
      <c r="R27" s="354"/>
    </row>
    <row r="28" spans="1:18" ht="17.25" customHeight="1">
      <c r="A28" s="345"/>
      <c r="B28" s="352"/>
      <c r="C28" s="352">
        <v>6050</v>
      </c>
      <c r="D28" s="353" t="s">
        <v>437</v>
      </c>
      <c r="E28" s="363">
        <f>F28+O28</f>
        <v>0</v>
      </c>
      <c r="F28" s="363"/>
      <c r="G28" s="363"/>
      <c r="H28" s="384"/>
      <c r="I28" s="384"/>
      <c r="J28" s="384"/>
      <c r="K28" s="384"/>
      <c r="L28" s="354"/>
      <c r="M28" s="354"/>
      <c r="N28" s="354"/>
      <c r="O28" s="354"/>
      <c r="P28" s="419"/>
      <c r="Q28" s="419"/>
      <c r="R28" s="354"/>
    </row>
    <row r="29" spans="1:18" ht="16.5" customHeight="1">
      <c r="A29" s="346"/>
      <c r="B29" s="345">
        <v>80146</v>
      </c>
      <c r="C29" s="352"/>
      <c r="D29" s="346" t="s">
        <v>362</v>
      </c>
      <c r="E29" s="347">
        <f>SUM(E30:E34)</f>
        <v>5520</v>
      </c>
      <c r="F29" s="347">
        <f>SUM(F30:F34)</f>
        <v>5520</v>
      </c>
      <c r="G29" s="347">
        <f>SUM(G30:G34)</f>
        <v>5520</v>
      </c>
      <c r="H29" s="347">
        <f>SUM(H30:H34)</f>
        <v>0</v>
      </c>
      <c r="I29" s="347">
        <f>SUM(I30:I34)</f>
        <v>5520</v>
      </c>
      <c r="J29" s="347">
        <f>SUM(J30:J34)</f>
        <v>0</v>
      </c>
      <c r="K29" s="347">
        <f>SUM(K30:K34)</f>
        <v>0</v>
      </c>
      <c r="L29" s="347">
        <f>SUM(L30:L34)</f>
        <v>0</v>
      </c>
      <c r="M29" s="347">
        <f>SUM(M30:M34)</f>
        <v>0</v>
      </c>
      <c r="N29" s="347">
        <f>SUM(N30:N34)</f>
        <v>0</v>
      </c>
      <c r="O29" s="347">
        <f>SUM(O30:O34)</f>
        <v>0</v>
      </c>
      <c r="P29" s="347">
        <f>SUM(P30:P34)</f>
        <v>0</v>
      </c>
      <c r="Q29" s="347">
        <f>SUM(Q30:Q34)</f>
        <v>0</v>
      </c>
      <c r="R29" s="347">
        <f>SUM(R30:R34)</f>
        <v>0</v>
      </c>
    </row>
    <row r="30" spans="1:18" ht="17.25" customHeight="1">
      <c r="A30" s="345"/>
      <c r="B30" s="345"/>
      <c r="C30" s="352">
        <v>4210</v>
      </c>
      <c r="D30" s="353" t="s">
        <v>339</v>
      </c>
      <c r="E30" s="363">
        <f>F30+O30</f>
        <v>0</v>
      </c>
      <c r="F30" s="363">
        <f>G30+J30+K30+L30+M30+N30</f>
        <v>0</v>
      </c>
      <c r="G30" s="363">
        <f>H30+I30</f>
        <v>0</v>
      </c>
      <c r="H30" s="420"/>
      <c r="I30" s="421">
        <v>0</v>
      </c>
      <c r="J30" s="354"/>
      <c r="K30" s="354"/>
      <c r="L30" s="354"/>
      <c r="M30" s="354"/>
      <c r="N30" s="354"/>
      <c r="O30" s="354"/>
      <c r="P30" s="419"/>
      <c r="Q30" s="419"/>
      <c r="R30" s="354"/>
    </row>
    <row r="31" spans="1:18" ht="17.25" customHeight="1">
      <c r="A31" s="345"/>
      <c r="B31" s="345"/>
      <c r="C31" s="352">
        <v>4240</v>
      </c>
      <c r="D31" s="353" t="s">
        <v>340</v>
      </c>
      <c r="E31" s="363">
        <f>F31+O31</f>
        <v>0</v>
      </c>
      <c r="F31" s="363">
        <f>G31+J31+K31+L31+M31+N31</f>
        <v>0</v>
      </c>
      <c r="G31" s="363">
        <f>H31+I31</f>
        <v>0</v>
      </c>
      <c r="H31" s="384"/>
      <c r="I31" s="384">
        <v>0</v>
      </c>
      <c r="J31" s="354"/>
      <c r="K31" s="354"/>
      <c r="L31" s="354"/>
      <c r="M31" s="354"/>
      <c r="N31" s="354"/>
      <c r="O31" s="354"/>
      <c r="P31" s="419"/>
      <c r="Q31" s="419"/>
      <c r="R31" s="354"/>
    </row>
    <row r="32" spans="1:18" ht="17.25" customHeight="1">
      <c r="A32" s="352"/>
      <c r="B32" s="352"/>
      <c r="C32" s="352">
        <v>4300</v>
      </c>
      <c r="D32" s="353" t="s">
        <v>350</v>
      </c>
      <c r="E32" s="363">
        <f>F32+O32</f>
        <v>1620</v>
      </c>
      <c r="F32" s="363">
        <f>G32+J32+K32+L32+M32+N32</f>
        <v>1620</v>
      </c>
      <c r="G32" s="363">
        <f>H32+I32</f>
        <v>1620</v>
      </c>
      <c r="H32" s="420"/>
      <c r="I32" s="384">
        <v>1620</v>
      </c>
      <c r="J32" s="354"/>
      <c r="K32" s="354"/>
      <c r="L32" s="354"/>
      <c r="M32" s="354"/>
      <c r="N32" s="354"/>
      <c r="O32" s="354"/>
      <c r="P32" s="419"/>
      <c r="Q32" s="419"/>
      <c r="R32" s="354"/>
    </row>
    <row r="33" spans="1:18" ht="17.25" customHeight="1">
      <c r="A33" s="352"/>
      <c r="B33" s="352"/>
      <c r="C33" s="352">
        <v>4410</v>
      </c>
      <c r="D33" s="353" t="s">
        <v>353</v>
      </c>
      <c r="E33" s="363">
        <f>F33+O33</f>
        <v>1900</v>
      </c>
      <c r="F33" s="363">
        <f>G33+J33+K33+L33+M33+N33</f>
        <v>1900</v>
      </c>
      <c r="G33" s="363">
        <f>H33+I33</f>
        <v>1900</v>
      </c>
      <c r="H33" s="420"/>
      <c r="I33" s="384">
        <v>1900</v>
      </c>
      <c r="J33" s="354"/>
      <c r="K33" s="354"/>
      <c r="L33" s="354"/>
      <c r="M33" s="354"/>
      <c r="N33" s="354"/>
      <c r="O33" s="354"/>
      <c r="P33" s="419"/>
      <c r="Q33" s="419"/>
      <c r="R33" s="354"/>
    </row>
    <row r="34" spans="1:18" ht="27" customHeight="1">
      <c r="A34" s="352"/>
      <c r="B34" s="352"/>
      <c r="C34" s="352">
        <v>4700</v>
      </c>
      <c r="D34" s="350" t="s">
        <v>355</v>
      </c>
      <c r="E34" s="363">
        <f>F34+O34</f>
        <v>2000</v>
      </c>
      <c r="F34" s="363">
        <f>G34+J34+K34+L34+M34+N34</f>
        <v>2000</v>
      </c>
      <c r="G34" s="363">
        <f>H34+I34</f>
        <v>2000</v>
      </c>
      <c r="H34" s="420"/>
      <c r="I34" s="384">
        <v>2000</v>
      </c>
      <c r="J34" s="354"/>
      <c r="K34" s="354"/>
      <c r="L34" s="354"/>
      <c r="M34" s="354"/>
      <c r="N34" s="354"/>
      <c r="O34" s="354"/>
      <c r="P34" s="419"/>
      <c r="Q34" s="419"/>
      <c r="R34" s="354"/>
    </row>
    <row r="35" spans="1:18" ht="16.5" customHeight="1">
      <c r="A35" s="346"/>
      <c r="B35" s="355">
        <v>80148</v>
      </c>
      <c r="C35" s="356"/>
      <c r="D35" s="357" t="s">
        <v>468</v>
      </c>
      <c r="E35" s="358">
        <f>SUM(E36:E48)</f>
        <v>245031</v>
      </c>
      <c r="F35" s="358">
        <f>SUM(F36:F48)</f>
        <v>245031</v>
      </c>
      <c r="G35" s="358">
        <f>SUM(G36:G48)</f>
        <v>245031</v>
      </c>
      <c r="H35" s="358">
        <f>SUM(H36:H48)</f>
        <v>87796</v>
      </c>
      <c r="I35" s="358">
        <f>SUM(I36:I48)</f>
        <v>157235</v>
      </c>
      <c r="J35" s="358">
        <f>SUM(J36:J48)</f>
        <v>0</v>
      </c>
      <c r="K35" s="358">
        <f>SUM(K36:K48)</f>
        <v>0</v>
      </c>
      <c r="L35" s="358">
        <f>SUM(L36:L48)</f>
        <v>0</v>
      </c>
      <c r="M35" s="358">
        <f>SUM(M36:M48)</f>
        <v>0</v>
      </c>
      <c r="N35" s="358">
        <f>SUM(N36:N48)</f>
        <v>0</v>
      </c>
      <c r="O35" s="358">
        <f>SUM(O36:O48)</f>
        <v>0</v>
      </c>
      <c r="P35" s="358">
        <f>SUM(P36:P48)</f>
        <v>0</v>
      </c>
      <c r="Q35" s="358">
        <f>SUM(Q36:Q48)</f>
        <v>0</v>
      </c>
      <c r="R35" s="358">
        <f>SUM(R36:R48)</f>
        <v>0</v>
      </c>
    </row>
    <row r="36" spans="1:18" ht="17.25" customHeight="1">
      <c r="A36" s="355"/>
      <c r="B36" s="355"/>
      <c r="C36" s="356">
        <v>3020</v>
      </c>
      <c r="D36" s="367" t="s">
        <v>345</v>
      </c>
      <c r="E36" s="363">
        <f>F36+O36</f>
        <v>0</v>
      </c>
      <c r="F36" s="363">
        <f>G36+J36+K36+L36+M36+N36</f>
        <v>0</v>
      </c>
      <c r="G36" s="363">
        <f>H36+I36</f>
        <v>0</v>
      </c>
      <c r="H36" s="384">
        <v>0</v>
      </c>
      <c r="I36" s="384">
        <v>0</v>
      </c>
      <c r="J36" s="384">
        <v>0</v>
      </c>
      <c r="K36" s="384">
        <v>0</v>
      </c>
      <c r="L36" s="368"/>
      <c r="M36" s="368"/>
      <c r="N36" s="368"/>
      <c r="O36" s="422"/>
      <c r="P36" s="422"/>
      <c r="Q36" s="422"/>
      <c r="R36" s="368"/>
    </row>
    <row r="37" spans="1:18" ht="17.25" customHeight="1">
      <c r="A37" s="356"/>
      <c r="B37" s="356"/>
      <c r="C37" s="356">
        <v>4010</v>
      </c>
      <c r="D37" s="367" t="s">
        <v>328</v>
      </c>
      <c r="E37" s="363">
        <f>F37+O37</f>
        <v>66903</v>
      </c>
      <c r="F37" s="363">
        <f>G37+J37+K37+L37+M37+N37</f>
        <v>66903</v>
      </c>
      <c r="G37" s="363">
        <f>H37+I37</f>
        <v>66903</v>
      </c>
      <c r="H37" s="384">
        <f>53448+10689+2766</f>
        <v>66903</v>
      </c>
      <c r="I37" s="384"/>
      <c r="J37" s="384"/>
      <c r="K37" s="384"/>
      <c r="L37" s="368"/>
      <c r="M37" s="368"/>
      <c r="N37" s="368"/>
      <c r="O37" s="422"/>
      <c r="P37" s="422"/>
      <c r="Q37" s="422"/>
      <c r="R37" s="368"/>
    </row>
    <row r="38" spans="1:18" ht="17.25" customHeight="1">
      <c r="A38" s="356"/>
      <c r="B38" s="356"/>
      <c r="C38" s="356">
        <v>4040</v>
      </c>
      <c r="D38" s="367" t="s">
        <v>346</v>
      </c>
      <c r="E38" s="363">
        <f>F38+O38</f>
        <v>6008</v>
      </c>
      <c r="F38" s="363">
        <f>G38+J38+K38+L38+M38+N38</f>
        <v>6008</v>
      </c>
      <c r="G38" s="363">
        <f>H38+I38</f>
        <v>6008</v>
      </c>
      <c r="H38" s="384">
        <v>6008</v>
      </c>
      <c r="I38" s="384"/>
      <c r="J38" s="384"/>
      <c r="K38" s="384"/>
      <c r="L38" s="368"/>
      <c r="M38" s="368"/>
      <c r="N38" s="368"/>
      <c r="O38" s="422"/>
      <c r="P38" s="422"/>
      <c r="Q38" s="422"/>
      <c r="R38" s="368"/>
    </row>
    <row r="39" spans="1:18" ht="17.25" customHeight="1">
      <c r="A39" s="356"/>
      <c r="B39" s="356"/>
      <c r="C39" s="356">
        <v>4110</v>
      </c>
      <c r="D39" s="367" t="s">
        <v>347</v>
      </c>
      <c r="E39" s="363">
        <f>F39+O39</f>
        <v>12817</v>
      </c>
      <c r="F39" s="363">
        <f>G39+J39+K39+L39+M39+N39</f>
        <v>12817</v>
      </c>
      <c r="G39" s="363">
        <f>H39+I39</f>
        <v>12817</v>
      </c>
      <c r="H39" s="384">
        <v>12817</v>
      </c>
      <c r="I39" s="384"/>
      <c r="J39" s="384"/>
      <c r="K39" s="384"/>
      <c r="L39" s="368"/>
      <c r="M39" s="368"/>
      <c r="N39" s="368"/>
      <c r="O39" s="422"/>
      <c r="P39" s="422"/>
      <c r="Q39" s="422"/>
      <c r="R39" s="368"/>
    </row>
    <row r="40" spans="1:18" ht="17.25" customHeight="1">
      <c r="A40" s="356"/>
      <c r="B40" s="356"/>
      <c r="C40" s="356">
        <v>4120</v>
      </c>
      <c r="D40" s="367" t="s">
        <v>348</v>
      </c>
      <c r="E40" s="363">
        <f>F40+O40</f>
        <v>2068</v>
      </c>
      <c r="F40" s="363">
        <f>G40+J40+K40+L40+M40+N40</f>
        <v>2068</v>
      </c>
      <c r="G40" s="363">
        <f>H40+I40</f>
        <v>2068</v>
      </c>
      <c r="H40" s="384">
        <v>2068</v>
      </c>
      <c r="I40" s="384"/>
      <c r="J40" s="384"/>
      <c r="K40" s="384"/>
      <c r="L40" s="368"/>
      <c r="M40" s="368"/>
      <c r="N40" s="368"/>
      <c r="O40" s="422"/>
      <c r="P40" s="422"/>
      <c r="Q40" s="422"/>
      <c r="R40" s="368"/>
    </row>
    <row r="41" spans="1:18" ht="17.25" customHeight="1">
      <c r="A41" s="356"/>
      <c r="B41" s="356"/>
      <c r="C41" s="356">
        <v>4210</v>
      </c>
      <c r="D41" s="367" t="s">
        <v>339</v>
      </c>
      <c r="E41" s="363">
        <f>F41+O41</f>
        <v>11830</v>
      </c>
      <c r="F41" s="363">
        <f>G41+J41+K41+L41+M41+N41</f>
        <v>11830</v>
      </c>
      <c r="G41" s="363">
        <f>H41+I41</f>
        <v>11830</v>
      </c>
      <c r="H41" s="384"/>
      <c r="I41" s="384">
        <v>11830</v>
      </c>
      <c r="J41" s="384"/>
      <c r="K41" s="384"/>
      <c r="L41" s="368"/>
      <c r="M41" s="368"/>
      <c r="N41" s="368"/>
      <c r="O41" s="422"/>
      <c r="P41" s="422"/>
      <c r="Q41" s="422"/>
      <c r="R41" s="368"/>
    </row>
    <row r="42" spans="1:18" ht="17.25" customHeight="1">
      <c r="A42" s="356"/>
      <c r="B42" s="356"/>
      <c r="C42" s="356">
        <v>4220</v>
      </c>
      <c r="D42" s="367" t="s">
        <v>469</v>
      </c>
      <c r="E42" s="363">
        <f>F42+O42</f>
        <v>137280</v>
      </c>
      <c r="F42" s="363">
        <f>G42+J42+K42+L42+M42+N42</f>
        <v>137280</v>
      </c>
      <c r="G42" s="363">
        <f>H42+I42</f>
        <v>137280</v>
      </c>
      <c r="H42" s="384"/>
      <c r="I42" s="384">
        <v>137280</v>
      </c>
      <c r="J42" s="384"/>
      <c r="K42" s="384"/>
      <c r="L42" s="368"/>
      <c r="M42" s="368"/>
      <c r="N42" s="368"/>
      <c r="O42" s="422"/>
      <c r="P42" s="422"/>
      <c r="Q42" s="422"/>
      <c r="R42" s="368"/>
    </row>
    <row r="43" spans="1:18" ht="17.25" customHeight="1">
      <c r="A43" s="356"/>
      <c r="B43" s="356"/>
      <c r="C43" s="356">
        <v>4270</v>
      </c>
      <c r="D43" s="367" t="s">
        <v>294</v>
      </c>
      <c r="E43" s="363">
        <f>F43+O43</f>
        <v>4500</v>
      </c>
      <c r="F43" s="363">
        <f>G43+J43+K43+L43+M43+N43</f>
        <v>4500</v>
      </c>
      <c r="G43" s="363">
        <f>H43+I43</f>
        <v>4500</v>
      </c>
      <c r="H43" s="384"/>
      <c r="I43" s="384">
        <v>4500</v>
      </c>
      <c r="J43" s="384"/>
      <c r="K43" s="384"/>
      <c r="L43" s="368"/>
      <c r="M43" s="368"/>
      <c r="N43" s="368"/>
      <c r="O43" s="422"/>
      <c r="P43" s="422"/>
      <c r="Q43" s="422"/>
      <c r="R43" s="368"/>
    </row>
    <row r="44" spans="1:18" ht="17.25" customHeight="1">
      <c r="A44" s="356"/>
      <c r="B44" s="356"/>
      <c r="C44" s="356">
        <v>4280</v>
      </c>
      <c r="D44" s="367" t="s">
        <v>341</v>
      </c>
      <c r="E44" s="363">
        <f>F44+O44</f>
        <v>150</v>
      </c>
      <c r="F44" s="363">
        <f>G44+J44+K44+L44+M44+N44</f>
        <v>150</v>
      </c>
      <c r="G44" s="363">
        <f>H44+I44</f>
        <v>150</v>
      </c>
      <c r="H44" s="384"/>
      <c r="I44" s="384">
        <v>150</v>
      </c>
      <c r="J44" s="384"/>
      <c r="K44" s="384"/>
      <c r="L44" s="368"/>
      <c r="M44" s="368"/>
      <c r="N44" s="368"/>
      <c r="O44" s="422"/>
      <c r="P44" s="422"/>
      <c r="Q44" s="422"/>
      <c r="R44" s="368"/>
    </row>
    <row r="45" spans="1:18" ht="17.25" customHeight="1">
      <c r="A45" s="356"/>
      <c r="B45" s="356"/>
      <c r="C45" s="356">
        <v>4300</v>
      </c>
      <c r="D45" s="367" t="s">
        <v>350</v>
      </c>
      <c r="E45" s="363">
        <f>F45+O45</f>
        <v>0</v>
      </c>
      <c r="F45" s="363">
        <f>G45+J45+K45+L45+M45+N45</f>
        <v>0</v>
      </c>
      <c r="G45" s="363">
        <f>H45+I45</f>
        <v>0</v>
      </c>
      <c r="H45" s="384"/>
      <c r="I45" s="384"/>
      <c r="J45" s="384"/>
      <c r="K45" s="384"/>
      <c r="L45" s="368"/>
      <c r="M45" s="368"/>
      <c r="N45" s="368"/>
      <c r="O45" s="422"/>
      <c r="P45" s="422"/>
      <c r="Q45" s="422"/>
      <c r="R45" s="368"/>
    </row>
    <row r="46" spans="1:18" ht="17.25" customHeight="1">
      <c r="A46" s="356"/>
      <c r="B46" s="356"/>
      <c r="C46" s="356">
        <v>4410</v>
      </c>
      <c r="D46" s="367" t="s">
        <v>353</v>
      </c>
      <c r="E46" s="363">
        <f>F46+O46</f>
        <v>300</v>
      </c>
      <c r="F46" s="363">
        <f>G46+J46+K46+L46+M46+N46</f>
        <v>300</v>
      </c>
      <c r="G46" s="363">
        <f>H46+I46</f>
        <v>300</v>
      </c>
      <c r="H46" s="384"/>
      <c r="I46" s="384">
        <v>300</v>
      </c>
      <c r="J46" s="384"/>
      <c r="K46" s="384"/>
      <c r="L46" s="368"/>
      <c r="M46" s="368"/>
      <c r="N46" s="368"/>
      <c r="O46" s="422"/>
      <c r="P46" s="422"/>
      <c r="Q46" s="422"/>
      <c r="R46" s="368"/>
    </row>
    <row r="47" spans="1:18" ht="17.25" customHeight="1">
      <c r="A47" s="356"/>
      <c r="B47" s="356"/>
      <c r="C47" s="356">
        <v>4440</v>
      </c>
      <c r="D47" s="367" t="s">
        <v>303</v>
      </c>
      <c r="E47" s="363">
        <f>F47+O47</f>
        <v>3175</v>
      </c>
      <c r="F47" s="363">
        <f>G47+J47+K47+L47+M47+N47</f>
        <v>3175</v>
      </c>
      <c r="G47" s="363">
        <f>H47+I47</f>
        <v>3175</v>
      </c>
      <c r="H47" s="384"/>
      <c r="I47" s="384">
        <v>3175</v>
      </c>
      <c r="J47" s="384"/>
      <c r="K47" s="384"/>
      <c r="L47" s="368"/>
      <c r="M47" s="368"/>
      <c r="N47" s="368"/>
      <c r="O47" s="422"/>
      <c r="P47" s="422"/>
      <c r="Q47" s="422"/>
      <c r="R47" s="368"/>
    </row>
    <row r="48" spans="1:18" ht="27" customHeight="1">
      <c r="A48" s="356"/>
      <c r="B48" s="356"/>
      <c r="C48" s="356">
        <v>4700</v>
      </c>
      <c r="D48" s="350" t="s">
        <v>355</v>
      </c>
      <c r="E48" s="363">
        <f>F48+O48</f>
        <v>0</v>
      </c>
      <c r="F48" s="363">
        <f>G48+J48+K48+L48+M48+N48</f>
        <v>0</v>
      </c>
      <c r="G48" s="363">
        <f>H48+I48</f>
        <v>0</v>
      </c>
      <c r="H48" s="423"/>
      <c r="I48" s="423"/>
      <c r="J48" s="423"/>
      <c r="K48" s="423"/>
      <c r="L48" s="368"/>
      <c r="M48" s="368"/>
      <c r="N48" s="368"/>
      <c r="O48" s="422"/>
      <c r="P48" s="422"/>
      <c r="Q48" s="422"/>
      <c r="R48" s="368"/>
    </row>
    <row r="49" spans="1:18" ht="16.5" customHeight="1">
      <c r="A49" s="345"/>
      <c r="B49" s="345">
        <v>80195</v>
      </c>
      <c r="C49" s="352"/>
      <c r="D49" s="346" t="s">
        <v>95</v>
      </c>
      <c r="E49" s="347">
        <f>SUM(E50:E50)</f>
        <v>41817</v>
      </c>
      <c r="F49" s="347">
        <f>SUM(F50:F50)</f>
        <v>41817</v>
      </c>
      <c r="G49" s="347">
        <f>SUM(G50:G50)</f>
        <v>41817</v>
      </c>
      <c r="H49" s="347">
        <f>SUM(H50:H50)</f>
        <v>0</v>
      </c>
      <c r="I49" s="347">
        <f>SUM(I50:I50)</f>
        <v>41817</v>
      </c>
      <c r="J49" s="347">
        <f>SUM(J50:J50)</f>
        <v>0</v>
      </c>
      <c r="K49" s="347">
        <f>SUM(K50:K50)</f>
        <v>0</v>
      </c>
      <c r="L49" s="347">
        <f>SUM(L50:L50)</f>
        <v>0</v>
      </c>
      <c r="M49" s="347">
        <f>SUM(M50:M50)</f>
        <v>0</v>
      </c>
      <c r="N49" s="347">
        <f>SUM(N50:N50)</f>
        <v>0</v>
      </c>
      <c r="O49" s="347">
        <f>SUM(O50:O50)</f>
        <v>0</v>
      </c>
      <c r="P49" s="347">
        <f>SUM(P50:P50)</f>
        <v>0</v>
      </c>
      <c r="Q49" s="347">
        <f>SUM(Q50:Q50)</f>
        <v>0</v>
      </c>
      <c r="R49" s="347">
        <f>SUM(R50:R50)</f>
        <v>0</v>
      </c>
    </row>
    <row r="50" spans="1:18" ht="17.25" customHeight="1">
      <c r="A50" s="345"/>
      <c r="B50" s="345"/>
      <c r="C50" s="352">
        <v>4440</v>
      </c>
      <c r="D50" s="353" t="s">
        <v>303</v>
      </c>
      <c r="E50" s="363">
        <f>F50+O50</f>
        <v>41817</v>
      </c>
      <c r="F50" s="363">
        <f>G50+J50+K50+L50+M50+N50</f>
        <v>41817</v>
      </c>
      <c r="G50" s="363">
        <f>H50+I50</f>
        <v>41817</v>
      </c>
      <c r="H50" s="354">
        <v>0</v>
      </c>
      <c r="I50" s="384">
        <v>41817</v>
      </c>
      <c r="J50" s="354">
        <v>0</v>
      </c>
      <c r="K50" s="354">
        <v>0</v>
      </c>
      <c r="L50" s="354"/>
      <c r="M50" s="354"/>
      <c r="N50" s="354"/>
      <c r="O50" s="419"/>
      <c r="P50" s="419"/>
      <c r="Q50" s="419"/>
      <c r="R50" s="354"/>
    </row>
    <row r="51" spans="1:18" ht="12.75" hidden="1">
      <c r="A51" s="352"/>
      <c r="B51" s="352"/>
      <c r="C51" s="352"/>
      <c r="D51" s="42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425"/>
      <c r="P51" s="425"/>
      <c r="Q51" s="425"/>
      <c r="R51" s="354"/>
    </row>
    <row r="52" spans="1:18" ht="12.75" hidden="1">
      <c r="A52" s="352"/>
      <c r="B52" s="352"/>
      <c r="C52" s="352"/>
      <c r="D52" s="42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425"/>
      <c r="P52" s="425"/>
      <c r="Q52" s="425"/>
      <c r="R52" s="354"/>
    </row>
  </sheetData>
  <mergeCells count="20">
    <mergeCell ref="B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33333333333334" bottom="0.8555555555555556" header="0.5902777777777778" footer="0.5902777777777778"/>
  <pageSetup horizontalDpi="300" verticalDpi="300" orientation="landscape" paperSize="9" scale="78"/>
  <headerFooter alignWithMargins="0">
    <oddHeader>&amp;R&amp;"Times New Roman,Normalny"&amp;12Załącznik Nr 20 do projektu uchwały Nr   Rady Miejskiej w Barlinku z dnia ........grudnia 2010</oddHeader>
    <oddFooter>&amp;C&amp;"Times New Roman,Normalny"&amp;12Strona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52"/>
  <sheetViews>
    <sheetView showGridLines="0" defaultGridColor="0" view="pageBreakPreview" zoomScaleSheetLayoutView="100" colorId="15" workbookViewId="0" topLeftCell="A22">
      <selection activeCell="A49" sqref="A49"/>
    </sheetView>
  </sheetViews>
  <sheetFormatPr defaultColWidth="9.00390625" defaultRowHeight="12.75"/>
  <cols>
    <col min="1" max="1" width="5.125" style="374" customWidth="1"/>
    <col min="2" max="2" width="6.00390625" style="374" customWidth="1"/>
    <col min="3" max="3" width="5.875" style="374" customWidth="1"/>
    <col min="4" max="4" width="47.125" style="374" customWidth="1"/>
    <col min="5" max="5" width="11.625" style="374" customWidth="1"/>
    <col min="6" max="9" width="9.50390625" style="374" customWidth="1"/>
    <col min="10" max="10" width="6.625" style="374" customWidth="1"/>
    <col min="11" max="11" width="6.75390625" style="374" customWidth="1"/>
    <col min="12" max="12" width="6.875" style="374" customWidth="1"/>
    <col min="13" max="17" width="6.375" style="374" customWidth="1"/>
    <col min="18" max="18" width="7.25390625" style="374" customWidth="1"/>
    <col min="19" max="16384" width="9.125" style="374" customWidth="1"/>
  </cols>
  <sheetData>
    <row r="1" spans="2:18" ht="30.75" customHeight="1">
      <c r="B1" s="129" t="s">
        <v>478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0.5" customHeight="1">
      <c r="A2" s="339" t="s">
        <v>66</v>
      </c>
      <c r="B2" s="339" t="s">
        <v>86</v>
      </c>
      <c r="C2" s="339" t="s">
        <v>87</v>
      </c>
      <c r="D2" s="339" t="s">
        <v>251</v>
      </c>
      <c r="E2" s="339" t="s">
        <v>252</v>
      </c>
      <c r="F2" s="340" t="s">
        <v>253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1:18" ht="11.25" customHeight="1">
      <c r="A3" s="339"/>
      <c r="B3" s="339"/>
      <c r="C3" s="339"/>
      <c r="D3" s="339"/>
      <c r="E3" s="339"/>
      <c r="F3" s="256" t="s">
        <v>242</v>
      </c>
      <c r="G3" s="255" t="s">
        <v>90</v>
      </c>
      <c r="H3" s="255"/>
      <c r="I3" s="255"/>
      <c r="J3" s="255"/>
      <c r="K3" s="255"/>
      <c r="L3" s="255"/>
      <c r="M3" s="255"/>
      <c r="N3" s="255"/>
      <c r="O3" s="254" t="s">
        <v>254</v>
      </c>
      <c r="P3" s="255" t="s">
        <v>90</v>
      </c>
      <c r="Q3" s="255"/>
      <c r="R3" s="255"/>
    </row>
    <row r="4" spans="1:18" ht="11.25" customHeight="1">
      <c r="A4" s="339"/>
      <c r="B4" s="339"/>
      <c r="C4" s="339"/>
      <c r="D4" s="339"/>
      <c r="E4" s="339"/>
      <c r="F4" s="256"/>
      <c r="G4" s="256" t="s">
        <v>255</v>
      </c>
      <c r="H4" s="255" t="s">
        <v>13</v>
      </c>
      <c r="I4" s="255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254"/>
      <c r="P4" s="254" t="s">
        <v>260</v>
      </c>
      <c r="Q4" s="255" t="s">
        <v>90</v>
      </c>
      <c r="R4" s="254" t="s">
        <v>261</v>
      </c>
    </row>
    <row r="5" spans="1:18" ht="147">
      <c r="A5" s="339"/>
      <c r="B5" s="339"/>
      <c r="C5" s="339"/>
      <c r="D5" s="339"/>
      <c r="E5" s="339"/>
      <c r="F5" s="256"/>
      <c r="G5" s="256"/>
      <c r="H5" s="254" t="s">
        <v>262</v>
      </c>
      <c r="I5" s="254" t="s">
        <v>263</v>
      </c>
      <c r="J5" s="254"/>
      <c r="K5" s="254"/>
      <c r="L5" s="254"/>
      <c r="M5" s="254"/>
      <c r="N5" s="254"/>
      <c r="O5" s="254"/>
      <c r="P5" s="254"/>
      <c r="Q5" s="256" t="s">
        <v>264</v>
      </c>
      <c r="R5" s="254"/>
    </row>
    <row r="6" spans="1:18" ht="10.5" customHeight="1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1">
        <v>9</v>
      </c>
      <c r="J6" s="341">
        <v>10</v>
      </c>
      <c r="K6" s="341">
        <v>11</v>
      </c>
      <c r="L6" s="341">
        <v>12</v>
      </c>
      <c r="M6" s="341">
        <v>13</v>
      </c>
      <c r="N6" s="341">
        <v>14</v>
      </c>
      <c r="O6" s="341">
        <v>15</v>
      </c>
      <c r="P6" s="341">
        <v>16</v>
      </c>
      <c r="Q6" s="341">
        <v>17</v>
      </c>
      <c r="R6" s="341">
        <v>18</v>
      </c>
    </row>
    <row r="7" spans="1:18" ht="16.5" customHeight="1">
      <c r="A7" s="394">
        <v>801</v>
      </c>
      <c r="B7" s="394"/>
      <c r="C7" s="394"/>
      <c r="D7" s="394" t="s">
        <v>180</v>
      </c>
      <c r="E7" s="426">
        <f>E29+E35+E49+E8</f>
        <v>2997611</v>
      </c>
      <c r="F7" s="426">
        <f>F29+F35+F49+F8</f>
        <v>2997611</v>
      </c>
      <c r="G7" s="426">
        <f>G29+G35+G49+G8</f>
        <v>2986038</v>
      </c>
      <c r="H7" s="426">
        <f>H29+H35+H49+H8</f>
        <v>2313231</v>
      </c>
      <c r="I7" s="426">
        <f>I29+I35+I49+I8</f>
        <v>672807</v>
      </c>
      <c r="J7" s="426">
        <f>J29+J35+J49+J8</f>
        <v>0</v>
      </c>
      <c r="K7" s="426">
        <f>K29+K35+K49+K8</f>
        <v>11573</v>
      </c>
      <c r="L7" s="426">
        <f>L29+L35+L49+L8</f>
        <v>0</v>
      </c>
      <c r="M7" s="426">
        <f>M29+M35+M49+M8</f>
        <v>0</v>
      </c>
      <c r="N7" s="426">
        <f>N29+N35+N49+N8</f>
        <v>0</v>
      </c>
      <c r="O7" s="426">
        <f>O29+O35+O49+O8</f>
        <v>0</v>
      </c>
      <c r="P7" s="426">
        <f>P29+P35+P49+P8</f>
        <v>0</v>
      </c>
      <c r="Q7" s="426">
        <f>Q29+Q35+Q49+Q8</f>
        <v>0</v>
      </c>
      <c r="R7" s="426">
        <f>R29+R35+R49+R8</f>
        <v>0</v>
      </c>
    </row>
    <row r="8" spans="1:18" ht="16.5" customHeight="1">
      <c r="A8" s="405"/>
      <c r="B8" s="405">
        <v>80110</v>
      </c>
      <c r="C8" s="405"/>
      <c r="D8" s="397" t="s">
        <v>190</v>
      </c>
      <c r="E8" s="407">
        <f>SUM(E9:E27)</f>
        <v>2493826</v>
      </c>
      <c r="F8" s="407">
        <f>SUM(F9:F27)</f>
        <v>2493826</v>
      </c>
      <c r="G8" s="407">
        <f>SUM(G9:G27)</f>
        <v>2484053</v>
      </c>
      <c r="H8" s="407">
        <f>SUM(H9:H28)</f>
        <v>2076268</v>
      </c>
      <c r="I8" s="407">
        <f>SUM(I9:I28)</f>
        <v>407785</v>
      </c>
      <c r="J8" s="407">
        <f>SUM(J9:J28)</f>
        <v>0</v>
      </c>
      <c r="K8" s="407">
        <f>SUM(K9:K28)</f>
        <v>9773</v>
      </c>
      <c r="L8" s="407">
        <f>SUM(L9:L28)</f>
        <v>0</v>
      </c>
      <c r="M8" s="407">
        <f>SUM(M9:M28)</f>
        <v>0</v>
      </c>
      <c r="N8" s="407">
        <f>SUM(N9:N28)</f>
        <v>0</v>
      </c>
      <c r="O8" s="407">
        <f>SUM(O9:O28)</f>
        <v>0</v>
      </c>
      <c r="P8" s="407">
        <f>SUM(P9:P28)</f>
        <v>0</v>
      </c>
      <c r="Q8" s="407">
        <f>SUM(Q9:Q28)</f>
        <v>0</v>
      </c>
      <c r="R8" s="407">
        <f>SUM(R9:R28)</f>
        <v>0</v>
      </c>
    </row>
    <row r="9" spans="1:18" ht="17.25" customHeight="1">
      <c r="A9" s="405"/>
      <c r="B9" s="405"/>
      <c r="C9" s="406">
        <v>3020</v>
      </c>
      <c r="D9" s="427" t="s">
        <v>345</v>
      </c>
      <c r="E9" s="428">
        <f>F9+O9</f>
        <v>9773</v>
      </c>
      <c r="F9" s="428">
        <f>G9+J9+K9+L9+M9+N9</f>
        <v>9773</v>
      </c>
      <c r="G9" s="428">
        <f>H9+I9</f>
        <v>0</v>
      </c>
      <c r="H9" s="404"/>
      <c r="I9" s="404"/>
      <c r="J9" s="404"/>
      <c r="K9" s="404">
        <v>9773</v>
      </c>
      <c r="L9" s="404"/>
      <c r="M9" s="404"/>
      <c r="N9" s="404"/>
      <c r="O9" s="404"/>
      <c r="P9" s="429"/>
      <c r="Q9" s="429"/>
      <c r="R9" s="404"/>
    </row>
    <row r="10" spans="1:18" ht="17.25" customHeight="1">
      <c r="A10" s="406"/>
      <c r="B10" s="406"/>
      <c r="C10" s="406">
        <v>3240</v>
      </c>
      <c r="D10" s="427" t="s">
        <v>357</v>
      </c>
      <c r="E10" s="428">
        <f>F10+O10</f>
        <v>0</v>
      </c>
      <c r="F10" s="428">
        <f>G10+J10+K10+L10+M10+N10</f>
        <v>0</v>
      </c>
      <c r="G10" s="428">
        <f>H10+I10</f>
        <v>0</v>
      </c>
      <c r="H10" s="404"/>
      <c r="I10" s="404"/>
      <c r="J10" s="404"/>
      <c r="K10" s="404"/>
      <c r="L10" s="404"/>
      <c r="M10" s="404"/>
      <c r="N10" s="404"/>
      <c r="O10" s="404"/>
      <c r="P10" s="429"/>
      <c r="Q10" s="429"/>
      <c r="R10" s="404"/>
    </row>
    <row r="11" spans="1:18" ht="17.25" customHeight="1">
      <c r="A11" s="406"/>
      <c r="B11" s="406"/>
      <c r="C11" s="406">
        <v>4010</v>
      </c>
      <c r="D11" s="427" t="s">
        <v>328</v>
      </c>
      <c r="E11" s="428">
        <f>F11+O11</f>
        <v>1595176</v>
      </c>
      <c r="F11" s="428">
        <f>G11+J11+K11+L11+M11+N11</f>
        <v>1595176</v>
      </c>
      <c r="G11" s="428">
        <f>H11+I11</f>
        <v>1595176</v>
      </c>
      <c r="H11" s="430">
        <f>(215400+11400+28633+21509)+(873366+245612+138782+29400+3139+17409+60526)-50000</f>
        <v>1595176</v>
      </c>
      <c r="I11" s="404"/>
      <c r="J11" s="404"/>
      <c r="K11" s="404"/>
      <c r="L11" s="404"/>
      <c r="M11" s="404"/>
      <c r="N11" s="404"/>
      <c r="O11" s="404"/>
      <c r="P11" s="429"/>
      <c r="Q11" s="429"/>
      <c r="R11" s="404"/>
    </row>
    <row r="12" spans="1:18" ht="17.25" customHeight="1">
      <c r="A12" s="406"/>
      <c r="B12" s="406"/>
      <c r="C12" s="406">
        <v>4040</v>
      </c>
      <c r="D12" s="427" t="s">
        <v>346</v>
      </c>
      <c r="E12" s="428">
        <f>F12+O12</f>
        <v>159170</v>
      </c>
      <c r="F12" s="428">
        <f>G12+J12+K12+L12+M12+N12</f>
        <v>159170</v>
      </c>
      <c r="G12" s="428">
        <f>H12+I12</f>
        <v>159170</v>
      </c>
      <c r="H12" s="404">
        <v>159170</v>
      </c>
      <c r="I12" s="404"/>
      <c r="J12" s="404"/>
      <c r="K12" s="404"/>
      <c r="L12" s="404"/>
      <c r="M12" s="404"/>
      <c r="N12" s="404"/>
      <c r="O12" s="404"/>
      <c r="P12" s="429"/>
      <c r="Q12" s="429"/>
      <c r="R12" s="404"/>
    </row>
    <row r="13" spans="1:18" ht="17.25" customHeight="1">
      <c r="A13" s="406"/>
      <c r="B13" s="406"/>
      <c r="C13" s="406">
        <v>4110</v>
      </c>
      <c r="D13" s="427" t="s">
        <v>347</v>
      </c>
      <c r="E13" s="428">
        <f>F13+O13</f>
        <v>278941</v>
      </c>
      <c r="F13" s="428">
        <f>G13+J13+K13+L13+M13+N13</f>
        <v>278941</v>
      </c>
      <c r="G13" s="428">
        <f>H13+I13</f>
        <v>278941</v>
      </c>
      <c r="H13" s="428">
        <v>278941</v>
      </c>
      <c r="I13" s="404"/>
      <c r="J13" s="404"/>
      <c r="K13" s="404"/>
      <c r="L13" s="404"/>
      <c r="M13" s="404"/>
      <c r="N13" s="404"/>
      <c r="O13" s="404"/>
      <c r="P13" s="429"/>
      <c r="Q13" s="429"/>
      <c r="R13" s="404"/>
    </row>
    <row r="14" spans="1:18" ht="17.25" customHeight="1">
      <c r="A14" s="406"/>
      <c r="B14" s="406"/>
      <c r="C14" s="406">
        <v>4120</v>
      </c>
      <c r="D14" s="427" t="s">
        <v>348</v>
      </c>
      <c r="E14" s="428">
        <f>F14+O14</f>
        <v>42981</v>
      </c>
      <c r="F14" s="428">
        <f>G14+J14+K14+L14+M14+N14</f>
        <v>42981</v>
      </c>
      <c r="G14" s="428">
        <f>H14+I14</f>
        <v>42981</v>
      </c>
      <c r="H14" s="428">
        <v>42981</v>
      </c>
      <c r="I14" s="404"/>
      <c r="J14" s="404"/>
      <c r="K14" s="404"/>
      <c r="L14" s="404"/>
      <c r="M14" s="404"/>
      <c r="N14" s="404"/>
      <c r="O14" s="404"/>
      <c r="P14" s="429"/>
      <c r="Q14" s="429"/>
      <c r="R14" s="404"/>
    </row>
    <row r="15" spans="1:18" ht="17.25" customHeight="1">
      <c r="A15" s="406"/>
      <c r="B15" s="406"/>
      <c r="C15" s="406">
        <v>4170</v>
      </c>
      <c r="D15" s="427" t="s">
        <v>471</v>
      </c>
      <c r="E15" s="428">
        <f>F15+O15</f>
        <v>0</v>
      </c>
      <c r="F15" s="428">
        <f>G15+J15+K15+L15+M15+N15</f>
        <v>0</v>
      </c>
      <c r="G15" s="428">
        <f>H15+I15</f>
        <v>0</v>
      </c>
      <c r="H15" s="404"/>
      <c r="I15" s="404">
        <v>0</v>
      </c>
      <c r="J15" s="404"/>
      <c r="K15" s="404"/>
      <c r="L15" s="404"/>
      <c r="M15" s="404"/>
      <c r="N15" s="404"/>
      <c r="O15" s="404"/>
      <c r="P15" s="429"/>
      <c r="Q15" s="429"/>
      <c r="R15" s="404"/>
    </row>
    <row r="16" spans="1:18" ht="17.25" customHeight="1">
      <c r="A16" s="406"/>
      <c r="B16" s="406"/>
      <c r="C16" s="406">
        <v>4210</v>
      </c>
      <c r="D16" s="427" t="s">
        <v>339</v>
      </c>
      <c r="E16" s="428">
        <f>F16+O16</f>
        <v>31400</v>
      </c>
      <c r="F16" s="428">
        <f>G16+J16+K16+L16+M16+N16</f>
        <v>31400</v>
      </c>
      <c r="G16" s="428">
        <f>H16+I16</f>
        <v>31400</v>
      </c>
      <c r="H16" s="404"/>
      <c r="I16" s="404">
        <f>28000+3400</f>
        <v>31400</v>
      </c>
      <c r="J16" s="404"/>
      <c r="K16" s="404"/>
      <c r="L16" s="404"/>
      <c r="M16" s="404"/>
      <c r="N16" s="404"/>
      <c r="O16" s="404"/>
      <c r="P16" s="429"/>
      <c r="Q16" s="429"/>
      <c r="R16" s="404"/>
    </row>
    <row r="17" spans="1:18" ht="17.25" customHeight="1">
      <c r="A17" s="406"/>
      <c r="B17" s="406"/>
      <c r="C17" s="406">
        <v>4240</v>
      </c>
      <c r="D17" s="427" t="s">
        <v>340</v>
      </c>
      <c r="E17" s="428">
        <f>F17+O17</f>
        <v>10000</v>
      </c>
      <c r="F17" s="428">
        <f>G17+J17+K17+L17+M17+N17</f>
        <v>10000</v>
      </c>
      <c r="G17" s="428">
        <f>H17+I17</f>
        <v>10000</v>
      </c>
      <c r="H17" s="404"/>
      <c r="I17" s="404">
        <v>10000</v>
      </c>
      <c r="J17" s="404"/>
      <c r="K17" s="404"/>
      <c r="L17" s="404"/>
      <c r="M17" s="404"/>
      <c r="N17" s="404"/>
      <c r="O17" s="404"/>
      <c r="P17" s="429"/>
      <c r="Q17" s="429"/>
      <c r="R17" s="404"/>
    </row>
    <row r="18" spans="1:18" ht="17.25" customHeight="1">
      <c r="A18" s="406"/>
      <c r="B18" s="406"/>
      <c r="C18" s="406">
        <v>4260</v>
      </c>
      <c r="D18" s="427" t="s">
        <v>349</v>
      </c>
      <c r="E18" s="428">
        <f>F18+O18</f>
        <v>204000</v>
      </c>
      <c r="F18" s="428">
        <f>G18+J18+K18+L18+M18+N18</f>
        <v>204000</v>
      </c>
      <c r="G18" s="428">
        <f>H18+I18</f>
        <v>204000</v>
      </c>
      <c r="H18" s="404"/>
      <c r="I18" s="404">
        <v>204000</v>
      </c>
      <c r="J18" s="404"/>
      <c r="K18" s="404"/>
      <c r="L18" s="404"/>
      <c r="M18" s="404"/>
      <c r="N18" s="404"/>
      <c r="O18" s="404"/>
      <c r="P18" s="429"/>
      <c r="Q18" s="429"/>
      <c r="R18" s="404"/>
    </row>
    <row r="19" spans="1:18" ht="17.25" customHeight="1">
      <c r="A19" s="406"/>
      <c r="B19" s="406"/>
      <c r="C19" s="406">
        <v>4270</v>
      </c>
      <c r="D19" s="427" t="s">
        <v>294</v>
      </c>
      <c r="E19" s="428">
        <f>F19+O19</f>
        <v>10000</v>
      </c>
      <c r="F19" s="428">
        <f>G19+J19+K19+L19+M19+N19</f>
        <v>10000</v>
      </c>
      <c r="G19" s="428">
        <f>H19+I19</f>
        <v>10000</v>
      </c>
      <c r="H19" s="404"/>
      <c r="I19" s="404">
        <v>10000</v>
      </c>
      <c r="J19" s="404"/>
      <c r="K19" s="404"/>
      <c r="L19" s="404"/>
      <c r="M19" s="404"/>
      <c r="N19" s="404"/>
      <c r="O19" s="404"/>
      <c r="P19" s="429"/>
      <c r="Q19" s="429"/>
      <c r="R19" s="404"/>
    </row>
    <row r="20" spans="1:18" ht="17.25" customHeight="1">
      <c r="A20" s="406"/>
      <c r="B20" s="406"/>
      <c r="C20" s="406">
        <v>4280</v>
      </c>
      <c r="D20" s="427" t="s">
        <v>341</v>
      </c>
      <c r="E20" s="428">
        <f>F20+O20</f>
        <v>100</v>
      </c>
      <c r="F20" s="428">
        <f>G20+J20+K20+L20+M20+N20</f>
        <v>100</v>
      </c>
      <c r="G20" s="428">
        <f>H20+I20</f>
        <v>100</v>
      </c>
      <c r="H20" s="404"/>
      <c r="I20" s="404">
        <v>100</v>
      </c>
      <c r="J20" s="404"/>
      <c r="K20" s="404"/>
      <c r="L20" s="404"/>
      <c r="M20" s="404"/>
      <c r="N20" s="404"/>
      <c r="O20" s="404"/>
      <c r="P20" s="429"/>
      <c r="Q20" s="429"/>
      <c r="R20" s="404"/>
    </row>
    <row r="21" spans="1:18" ht="17.25" customHeight="1">
      <c r="A21" s="406"/>
      <c r="B21" s="406"/>
      <c r="C21" s="406">
        <v>4300</v>
      </c>
      <c r="D21" s="427" t="s">
        <v>350</v>
      </c>
      <c r="E21" s="428">
        <f>F21+O21</f>
        <v>50761</v>
      </c>
      <c r="F21" s="428">
        <f>G21+J21+K21+L21+M21+N21</f>
        <v>50761</v>
      </c>
      <c r="G21" s="428">
        <f>H21+I21</f>
        <v>50761</v>
      </c>
      <c r="H21" s="404"/>
      <c r="I21" s="404">
        <f>50000+761</f>
        <v>50761</v>
      </c>
      <c r="J21" s="404"/>
      <c r="K21" s="404"/>
      <c r="L21" s="404"/>
      <c r="M21" s="404"/>
      <c r="N21" s="404"/>
      <c r="O21" s="404"/>
      <c r="P21" s="429"/>
      <c r="Q21" s="429"/>
      <c r="R21" s="404"/>
    </row>
    <row r="22" spans="1:18" ht="17.25" customHeight="1">
      <c r="A22" s="406"/>
      <c r="B22" s="406"/>
      <c r="C22" s="406">
        <v>4350</v>
      </c>
      <c r="D22" s="427" t="s">
        <v>351</v>
      </c>
      <c r="E22" s="428">
        <f>F22+O22</f>
        <v>3000</v>
      </c>
      <c r="F22" s="428">
        <f>G22+J22+K22+L22+M22+N22</f>
        <v>3000</v>
      </c>
      <c r="G22" s="428">
        <f>H22+I22</f>
        <v>3000</v>
      </c>
      <c r="H22" s="404"/>
      <c r="I22" s="404">
        <v>3000</v>
      </c>
      <c r="J22" s="404"/>
      <c r="K22" s="404"/>
      <c r="L22" s="404"/>
      <c r="M22" s="404"/>
      <c r="N22" s="404"/>
      <c r="O22" s="404"/>
      <c r="P22" s="429"/>
      <c r="Q22" s="429"/>
      <c r="R22" s="404"/>
    </row>
    <row r="23" spans="1:18" ht="17.25" customHeight="1">
      <c r="A23" s="406"/>
      <c r="B23" s="406"/>
      <c r="C23" s="406">
        <v>4370</v>
      </c>
      <c r="D23" s="427" t="s">
        <v>352</v>
      </c>
      <c r="E23" s="428">
        <f>F23+O23</f>
        <v>4444</v>
      </c>
      <c r="F23" s="428">
        <f>G23+J23+K23+L23+M23+N23</f>
        <v>4444</v>
      </c>
      <c r="G23" s="428">
        <f>H23+I23</f>
        <v>4444</v>
      </c>
      <c r="H23" s="404"/>
      <c r="I23" s="404">
        <v>4444</v>
      </c>
      <c r="J23" s="404"/>
      <c r="K23" s="404"/>
      <c r="L23" s="404"/>
      <c r="M23" s="404"/>
      <c r="N23" s="404"/>
      <c r="O23" s="404"/>
      <c r="P23" s="429"/>
      <c r="Q23" s="429"/>
      <c r="R23" s="404"/>
    </row>
    <row r="24" spans="1:18" ht="17.25" customHeight="1">
      <c r="A24" s="406"/>
      <c r="B24" s="406"/>
      <c r="C24" s="406">
        <v>4410</v>
      </c>
      <c r="D24" s="427" t="s">
        <v>353</v>
      </c>
      <c r="E24" s="428">
        <f>F24+O24</f>
        <v>1000</v>
      </c>
      <c r="F24" s="428">
        <f>G24+J24+K24+L24+M24+N24</f>
        <v>1000</v>
      </c>
      <c r="G24" s="428">
        <f>H24+I24</f>
        <v>1000</v>
      </c>
      <c r="H24" s="404"/>
      <c r="I24" s="404">
        <v>1000</v>
      </c>
      <c r="J24" s="404"/>
      <c r="K24" s="404"/>
      <c r="L24" s="404"/>
      <c r="M24" s="404"/>
      <c r="N24" s="404"/>
      <c r="O24" s="404"/>
      <c r="P24" s="429"/>
      <c r="Q24" s="429"/>
      <c r="R24" s="404"/>
    </row>
    <row r="25" spans="1:18" ht="17.25" customHeight="1">
      <c r="A25" s="406"/>
      <c r="B25" s="406"/>
      <c r="C25" s="406">
        <v>4430</v>
      </c>
      <c r="D25" s="427" t="s">
        <v>354</v>
      </c>
      <c r="E25" s="428">
        <f>F25+O25</f>
        <v>1808</v>
      </c>
      <c r="F25" s="428">
        <f>G25+J25+K25+L25+M25+N25</f>
        <v>1808</v>
      </c>
      <c r="G25" s="428">
        <f>H25+I25</f>
        <v>1808</v>
      </c>
      <c r="H25" s="404"/>
      <c r="I25" s="404">
        <v>1808</v>
      </c>
      <c r="J25" s="404"/>
      <c r="K25" s="404"/>
      <c r="L25" s="404"/>
      <c r="M25" s="404"/>
      <c r="N25" s="404"/>
      <c r="O25" s="404"/>
      <c r="P25" s="429"/>
      <c r="Q25" s="429"/>
      <c r="R25" s="404"/>
    </row>
    <row r="26" spans="1:18" ht="17.25" customHeight="1">
      <c r="A26" s="406"/>
      <c r="B26" s="406"/>
      <c r="C26" s="406">
        <v>4440</v>
      </c>
      <c r="D26" s="427" t="s">
        <v>303</v>
      </c>
      <c r="E26" s="428">
        <f>F26+O26</f>
        <v>89772</v>
      </c>
      <c r="F26" s="428">
        <f>G26+J26+K26+L26+M26+N26</f>
        <v>89772</v>
      </c>
      <c r="G26" s="428">
        <f>H26+I26</f>
        <v>89772</v>
      </c>
      <c r="H26" s="404"/>
      <c r="I26" s="404">
        <v>89772</v>
      </c>
      <c r="J26" s="404"/>
      <c r="K26" s="404"/>
      <c r="L26" s="404"/>
      <c r="M26" s="404"/>
      <c r="N26" s="404"/>
      <c r="O26" s="404"/>
      <c r="P26" s="429"/>
      <c r="Q26" s="429"/>
      <c r="R26" s="404"/>
    </row>
    <row r="27" spans="1:18" ht="27" customHeight="1">
      <c r="A27" s="406"/>
      <c r="B27" s="406"/>
      <c r="C27" s="406">
        <v>4700</v>
      </c>
      <c r="D27" s="401" t="s">
        <v>355</v>
      </c>
      <c r="E27" s="428">
        <f>F27+O27</f>
        <v>1500</v>
      </c>
      <c r="F27" s="428">
        <f>G27+J27+K27+L27+M27+N27</f>
        <v>1500</v>
      </c>
      <c r="G27" s="428">
        <f>H27+I27</f>
        <v>1500</v>
      </c>
      <c r="H27" s="404"/>
      <c r="I27" s="404">
        <v>1500</v>
      </c>
      <c r="J27" s="404"/>
      <c r="K27" s="404"/>
      <c r="L27" s="404"/>
      <c r="M27" s="404"/>
      <c r="N27" s="404"/>
      <c r="O27" s="404"/>
      <c r="P27" s="429"/>
      <c r="Q27" s="429"/>
      <c r="R27" s="404"/>
    </row>
    <row r="28" spans="1:18" ht="17.25" customHeight="1">
      <c r="A28" s="406"/>
      <c r="B28" s="406"/>
      <c r="C28" s="406">
        <v>6050</v>
      </c>
      <c r="D28" s="427" t="s">
        <v>437</v>
      </c>
      <c r="E28" s="428">
        <f>F28+O28</f>
        <v>0</v>
      </c>
      <c r="F28" s="428">
        <f>G28+J28+K28+L28+M28+N28</f>
        <v>0</v>
      </c>
      <c r="G28" s="428">
        <f>H28+I28</f>
        <v>0</v>
      </c>
      <c r="H28" s="404"/>
      <c r="I28" s="404"/>
      <c r="J28" s="404"/>
      <c r="K28" s="404"/>
      <c r="L28" s="404"/>
      <c r="M28" s="404"/>
      <c r="N28" s="404"/>
      <c r="O28" s="404"/>
      <c r="P28" s="429"/>
      <c r="Q28" s="429"/>
      <c r="R28" s="404"/>
    </row>
    <row r="29" spans="1:18" ht="16.5" customHeight="1">
      <c r="A29" s="397"/>
      <c r="B29" s="405">
        <v>80146</v>
      </c>
      <c r="C29" s="406"/>
      <c r="D29" s="397" t="s">
        <v>362</v>
      </c>
      <c r="E29" s="407">
        <f>SUM(E30:E34)</f>
        <v>6400</v>
      </c>
      <c r="F29" s="407">
        <f>SUM(F30:F34)</f>
        <v>6400</v>
      </c>
      <c r="G29" s="407">
        <f>SUM(G30:G34)</f>
        <v>6400</v>
      </c>
      <c r="H29" s="407">
        <f>SUM(H30:H34)</f>
        <v>0</v>
      </c>
      <c r="I29" s="407">
        <f>SUM(I30:I34)</f>
        <v>6400</v>
      </c>
      <c r="J29" s="407">
        <f>SUM(J30:J34)</f>
        <v>0</v>
      </c>
      <c r="K29" s="407">
        <f>SUM(K30:K34)</f>
        <v>0</v>
      </c>
      <c r="L29" s="407">
        <f>SUM(L30:L34)</f>
        <v>0</v>
      </c>
      <c r="M29" s="407">
        <f>SUM(M30:M34)</f>
        <v>0</v>
      </c>
      <c r="N29" s="407">
        <f>SUM(N30:N34)</f>
        <v>0</v>
      </c>
      <c r="O29" s="407">
        <f>SUM(O30:O34)</f>
        <v>0</v>
      </c>
      <c r="P29" s="407">
        <f>SUM(P30:P34)</f>
        <v>0</v>
      </c>
      <c r="Q29" s="407">
        <f>SUM(Q30:Q34)</f>
        <v>0</v>
      </c>
      <c r="R29" s="407">
        <f>SUM(R30:R34)</f>
        <v>0</v>
      </c>
    </row>
    <row r="30" spans="1:18" ht="17.25" customHeight="1">
      <c r="A30" s="405"/>
      <c r="B30" s="405"/>
      <c r="C30" s="406">
        <v>4210</v>
      </c>
      <c r="D30" s="427" t="s">
        <v>339</v>
      </c>
      <c r="E30" s="428">
        <f>F30+O30</f>
        <v>1700</v>
      </c>
      <c r="F30" s="428">
        <f>G30+J30+K30+L30+M30+N30</f>
        <v>1700</v>
      </c>
      <c r="G30" s="428">
        <f>H30+I30</f>
        <v>1700</v>
      </c>
      <c r="H30" s="404"/>
      <c r="I30" s="404">
        <v>1700</v>
      </c>
      <c r="J30" s="404"/>
      <c r="K30" s="404"/>
      <c r="L30" s="404"/>
      <c r="M30" s="404"/>
      <c r="N30" s="404"/>
      <c r="O30" s="404"/>
      <c r="P30" s="429"/>
      <c r="Q30" s="429"/>
      <c r="R30" s="404"/>
    </row>
    <row r="31" spans="1:18" ht="17.25" customHeight="1">
      <c r="A31" s="405"/>
      <c r="B31" s="405"/>
      <c r="C31" s="406">
        <v>4240</v>
      </c>
      <c r="D31" s="427" t="s">
        <v>340</v>
      </c>
      <c r="E31" s="428">
        <f>F31+O31</f>
        <v>0</v>
      </c>
      <c r="F31" s="428">
        <f>G31+J31+K31+L31+M31+N31</f>
        <v>0</v>
      </c>
      <c r="G31" s="428">
        <f>H31+I31</f>
        <v>0</v>
      </c>
      <c r="H31" s="431"/>
      <c r="I31" s="431"/>
      <c r="J31" s="404"/>
      <c r="K31" s="404"/>
      <c r="L31" s="404"/>
      <c r="M31" s="404"/>
      <c r="N31" s="404"/>
      <c r="O31" s="404"/>
      <c r="P31" s="429"/>
      <c r="Q31" s="429"/>
      <c r="R31" s="404"/>
    </row>
    <row r="32" spans="1:18" ht="17.25" customHeight="1">
      <c r="A32" s="406"/>
      <c r="B32" s="406"/>
      <c r="C32" s="406">
        <v>4300</v>
      </c>
      <c r="D32" s="427" t="s">
        <v>350</v>
      </c>
      <c r="E32" s="428">
        <f>F32+O32</f>
        <v>2100</v>
      </c>
      <c r="F32" s="428">
        <f>G32+J32+K32+L32+M32+N32</f>
        <v>2100</v>
      </c>
      <c r="G32" s="428">
        <f>H32+I32</f>
        <v>2100</v>
      </c>
      <c r="H32" s="404"/>
      <c r="I32" s="404">
        <v>2100</v>
      </c>
      <c r="J32" s="404"/>
      <c r="K32" s="404"/>
      <c r="L32" s="404"/>
      <c r="M32" s="404"/>
      <c r="N32" s="404"/>
      <c r="O32" s="404"/>
      <c r="P32" s="429"/>
      <c r="Q32" s="429"/>
      <c r="R32" s="404"/>
    </row>
    <row r="33" spans="1:18" ht="17.25" customHeight="1">
      <c r="A33" s="406"/>
      <c r="B33" s="406"/>
      <c r="C33" s="406">
        <v>4410</v>
      </c>
      <c r="D33" s="427" t="s">
        <v>353</v>
      </c>
      <c r="E33" s="428">
        <f>F33+O33</f>
        <v>1600</v>
      </c>
      <c r="F33" s="428">
        <f>G33+J33+K33+L33+M33+N33</f>
        <v>1600</v>
      </c>
      <c r="G33" s="428">
        <f>H33+I33</f>
        <v>1600</v>
      </c>
      <c r="H33" s="404"/>
      <c r="I33" s="404">
        <v>1600</v>
      </c>
      <c r="J33" s="404"/>
      <c r="K33" s="404"/>
      <c r="L33" s="404"/>
      <c r="M33" s="404"/>
      <c r="N33" s="404"/>
      <c r="O33" s="404"/>
      <c r="P33" s="429"/>
      <c r="Q33" s="429"/>
      <c r="R33" s="404"/>
    </row>
    <row r="34" spans="1:18" ht="27" customHeight="1">
      <c r="A34" s="406"/>
      <c r="B34" s="406"/>
      <c r="C34" s="406">
        <v>4700</v>
      </c>
      <c r="D34" s="401" t="s">
        <v>355</v>
      </c>
      <c r="E34" s="428">
        <f>F34+O34</f>
        <v>1000</v>
      </c>
      <c r="F34" s="428">
        <f>G34+J34+K34+L34+M34+N34</f>
        <v>1000</v>
      </c>
      <c r="G34" s="428">
        <f>H34+I34</f>
        <v>1000</v>
      </c>
      <c r="H34" s="404"/>
      <c r="I34" s="404">
        <v>1000</v>
      </c>
      <c r="J34" s="404"/>
      <c r="K34" s="404"/>
      <c r="L34" s="404"/>
      <c r="M34" s="404"/>
      <c r="N34" s="404"/>
      <c r="O34" s="404"/>
      <c r="P34" s="429"/>
      <c r="Q34" s="429"/>
      <c r="R34" s="404"/>
    </row>
    <row r="35" spans="1:18" ht="16.5" customHeight="1">
      <c r="A35" s="397"/>
      <c r="B35" s="408">
        <v>80148</v>
      </c>
      <c r="C35" s="409"/>
      <c r="D35" s="410" t="s">
        <v>468</v>
      </c>
      <c r="E35" s="411">
        <f>SUM(E36:E48)</f>
        <v>483687</v>
      </c>
      <c r="F35" s="411">
        <f>SUM(F36:F48)</f>
        <v>483687</v>
      </c>
      <c r="G35" s="411">
        <f>SUM(G36:G48)</f>
        <v>481887</v>
      </c>
      <c r="H35" s="411">
        <f>SUM(H36:H48)</f>
        <v>236963</v>
      </c>
      <c r="I35" s="411">
        <f>SUM(I36:I48)</f>
        <v>244924</v>
      </c>
      <c r="J35" s="411">
        <f>SUM(J36:J48)</f>
        <v>0</v>
      </c>
      <c r="K35" s="411">
        <f>SUM(K36:K48)</f>
        <v>1800</v>
      </c>
      <c r="L35" s="411">
        <f>SUM(L36:L48)</f>
        <v>0</v>
      </c>
      <c r="M35" s="411">
        <f>SUM(M36:M48)</f>
        <v>0</v>
      </c>
      <c r="N35" s="411">
        <f>SUM(N36:N48)</f>
        <v>0</v>
      </c>
      <c r="O35" s="411">
        <f>SUM(O36:O48)</f>
        <v>0</v>
      </c>
      <c r="P35" s="411">
        <f>SUM(P36:P48)</f>
        <v>0</v>
      </c>
      <c r="Q35" s="411">
        <f>SUM(Q36:Q48)</f>
        <v>0</v>
      </c>
      <c r="R35" s="411">
        <f>SUM(R36:R48)</f>
        <v>0</v>
      </c>
    </row>
    <row r="36" spans="1:18" ht="17.25" customHeight="1">
      <c r="A36" s="408"/>
      <c r="B36" s="408"/>
      <c r="C36" s="409">
        <v>3020</v>
      </c>
      <c r="D36" s="432" t="s">
        <v>345</v>
      </c>
      <c r="E36" s="428">
        <f>F36+O36</f>
        <v>1800</v>
      </c>
      <c r="F36" s="428">
        <f>G36+J36+K36+L36+M36+N36</f>
        <v>1800</v>
      </c>
      <c r="G36" s="428">
        <f>H36+I36</f>
        <v>0</v>
      </c>
      <c r="H36" s="433">
        <v>0</v>
      </c>
      <c r="I36" s="433">
        <v>0</v>
      </c>
      <c r="J36" s="433">
        <v>0</v>
      </c>
      <c r="K36" s="433">
        <v>1800</v>
      </c>
      <c r="L36" s="433"/>
      <c r="M36" s="433"/>
      <c r="N36" s="433"/>
      <c r="O36" s="434"/>
      <c r="P36" s="434"/>
      <c r="Q36" s="434"/>
      <c r="R36" s="433"/>
    </row>
    <row r="37" spans="1:18" ht="17.25" customHeight="1">
      <c r="A37" s="409"/>
      <c r="B37" s="409"/>
      <c r="C37" s="409">
        <v>4010</v>
      </c>
      <c r="D37" s="432" t="s">
        <v>328</v>
      </c>
      <c r="E37" s="428">
        <f>F37+O37</f>
        <v>184498</v>
      </c>
      <c r="F37" s="428">
        <f>G37+J37+K37+L37+M37+N37</f>
        <v>184498</v>
      </c>
      <c r="G37" s="428">
        <f>H37+I37</f>
        <v>184498</v>
      </c>
      <c r="H37" s="404">
        <f>(131640+26328+26530)</f>
        <v>184498</v>
      </c>
      <c r="I37" s="433"/>
      <c r="J37" s="433"/>
      <c r="K37" s="433"/>
      <c r="L37" s="433"/>
      <c r="M37" s="433"/>
      <c r="N37" s="433"/>
      <c r="O37" s="434"/>
      <c r="P37" s="434"/>
      <c r="Q37" s="434"/>
      <c r="R37" s="433"/>
    </row>
    <row r="38" spans="1:18" ht="17.25" customHeight="1">
      <c r="A38" s="409"/>
      <c r="B38" s="409"/>
      <c r="C38" s="409">
        <v>4040</v>
      </c>
      <c r="D38" s="432" t="s">
        <v>346</v>
      </c>
      <c r="E38" s="428">
        <f>F38+O38</f>
        <v>15725</v>
      </c>
      <c r="F38" s="428">
        <f>G38+J38+K38+L38+M38+N38</f>
        <v>15725</v>
      </c>
      <c r="G38" s="428">
        <f>H38+I38</f>
        <v>15725</v>
      </c>
      <c r="H38" s="433">
        <v>15725</v>
      </c>
      <c r="I38" s="433"/>
      <c r="J38" s="433"/>
      <c r="K38" s="433"/>
      <c r="L38" s="433"/>
      <c r="M38" s="433"/>
      <c r="N38" s="433"/>
      <c r="O38" s="434"/>
      <c r="P38" s="434"/>
      <c r="Q38" s="434"/>
      <c r="R38" s="433"/>
    </row>
    <row r="39" spans="1:18" ht="17.25" customHeight="1">
      <c r="A39" s="409"/>
      <c r="B39" s="409"/>
      <c r="C39" s="409">
        <v>4110</v>
      </c>
      <c r="D39" s="432" t="s">
        <v>347</v>
      </c>
      <c r="E39" s="428">
        <f>F39+O39</f>
        <v>31835</v>
      </c>
      <c r="F39" s="428">
        <f>G39+J39+K39+L39+M39+N39</f>
        <v>31835</v>
      </c>
      <c r="G39" s="428">
        <f>H39+I39</f>
        <v>31835</v>
      </c>
      <c r="H39" s="428">
        <v>31835</v>
      </c>
      <c r="I39" s="433"/>
      <c r="J39" s="433"/>
      <c r="K39" s="433"/>
      <c r="L39" s="433"/>
      <c r="M39" s="433"/>
      <c r="N39" s="433"/>
      <c r="O39" s="434"/>
      <c r="P39" s="434"/>
      <c r="Q39" s="434"/>
      <c r="R39" s="433"/>
    </row>
    <row r="40" spans="1:18" ht="17.25" customHeight="1">
      <c r="A40" s="409"/>
      <c r="B40" s="409"/>
      <c r="C40" s="409">
        <v>4120</v>
      </c>
      <c r="D40" s="432" t="s">
        <v>348</v>
      </c>
      <c r="E40" s="428">
        <f>F40+O40</f>
        <v>4905</v>
      </c>
      <c r="F40" s="428">
        <f>G40+J40+K40+L40+M40+N40</f>
        <v>4905</v>
      </c>
      <c r="G40" s="428">
        <f>H40+I40</f>
        <v>4905</v>
      </c>
      <c r="H40" s="428">
        <v>4905</v>
      </c>
      <c r="I40" s="433"/>
      <c r="J40" s="433"/>
      <c r="K40" s="433"/>
      <c r="L40" s="433"/>
      <c r="M40" s="433"/>
      <c r="N40" s="433"/>
      <c r="O40" s="434"/>
      <c r="P40" s="434"/>
      <c r="Q40" s="434"/>
      <c r="R40" s="433"/>
    </row>
    <row r="41" spans="1:18" ht="17.25" customHeight="1">
      <c r="A41" s="409"/>
      <c r="B41" s="409"/>
      <c r="C41" s="409">
        <v>4210</v>
      </c>
      <c r="D41" s="432" t="s">
        <v>339</v>
      </c>
      <c r="E41" s="428">
        <f>F41+O41</f>
        <v>10000</v>
      </c>
      <c r="F41" s="428">
        <f>G41+J41+K41+L41+M41+N41</f>
        <v>10000</v>
      </c>
      <c r="G41" s="428">
        <f>H41+I41</f>
        <v>10000</v>
      </c>
      <c r="H41" s="433"/>
      <c r="I41" s="433">
        <v>10000</v>
      </c>
      <c r="J41" s="433"/>
      <c r="K41" s="433"/>
      <c r="L41" s="433"/>
      <c r="M41" s="433"/>
      <c r="N41" s="433"/>
      <c r="O41" s="434"/>
      <c r="P41" s="434"/>
      <c r="Q41" s="434"/>
      <c r="R41" s="433"/>
    </row>
    <row r="42" spans="1:18" ht="17.25" customHeight="1">
      <c r="A42" s="409"/>
      <c r="B42" s="409"/>
      <c r="C42" s="409">
        <v>4220</v>
      </c>
      <c r="D42" s="432" t="s">
        <v>469</v>
      </c>
      <c r="E42" s="428">
        <f>F42+O42</f>
        <v>222112</v>
      </c>
      <c r="F42" s="428">
        <f>G42+J42+K42+L42+M42+N42</f>
        <v>222112</v>
      </c>
      <c r="G42" s="428">
        <f>H42+I42</f>
        <v>222112</v>
      </c>
      <c r="H42" s="433"/>
      <c r="I42" s="433">
        <v>222112</v>
      </c>
      <c r="J42" s="433"/>
      <c r="K42" s="433"/>
      <c r="L42" s="433"/>
      <c r="M42" s="433"/>
      <c r="N42" s="433"/>
      <c r="O42" s="434"/>
      <c r="P42" s="434"/>
      <c r="Q42" s="434"/>
      <c r="R42" s="433"/>
    </row>
    <row r="43" spans="1:18" ht="17.25" customHeight="1">
      <c r="A43" s="409"/>
      <c r="B43" s="409"/>
      <c r="C43" s="409">
        <v>4270</v>
      </c>
      <c r="D43" s="432" t="s">
        <v>294</v>
      </c>
      <c r="E43" s="428">
        <f>F43+O43</f>
        <v>2600</v>
      </c>
      <c r="F43" s="428">
        <f>G43+J43+K43+L43+M43+N43</f>
        <v>2600</v>
      </c>
      <c r="G43" s="428">
        <f>H43+I43</f>
        <v>2600</v>
      </c>
      <c r="H43" s="433"/>
      <c r="I43" s="433">
        <v>2600</v>
      </c>
      <c r="J43" s="433"/>
      <c r="K43" s="433"/>
      <c r="L43" s="433"/>
      <c r="M43" s="433"/>
      <c r="N43" s="433"/>
      <c r="O43" s="434"/>
      <c r="P43" s="434"/>
      <c r="Q43" s="434"/>
      <c r="R43" s="433"/>
    </row>
    <row r="44" spans="1:18" ht="17.25" customHeight="1">
      <c r="A44" s="409"/>
      <c r="B44" s="409"/>
      <c r="C44" s="409">
        <v>4280</v>
      </c>
      <c r="D44" s="432" t="s">
        <v>341</v>
      </c>
      <c r="E44" s="428">
        <f>F44+O44</f>
        <v>100</v>
      </c>
      <c r="F44" s="428">
        <f>G44+J44+K44+L44+M44+N44</f>
        <v>100</v>
      </c>
      <c r="G44" s="428">
        <f>H44+I44</f>
        <v>100</v>
      </c>
      <c r="H44" s="433"/>
      <c r="I44" s="433">
        <v>100</v>
      </c>
      <c r="J44" s="433"/>
      <c r="K44" s="433"/>
      <c r="L44" s="433"/>
      <c r="M44" s="433"/>
      <c r="N44" s="433"/>
      <c r="O44" s="434"/>
      <c r="P44" s="434"/>
      <c r="Q44" s="434"/>
      <c r="R44" s="433"/>
    </row>
    <row r="45" spans="1:18" ht="17.25" customHeight="1">
      <c r="A45" s="409"/>
      <c r="B45" s="409"/>
      <c r="C45" s="409">
        <v>4300</v>
      </c>
      <c r="D45" s="432" t="s">
        <v>350</v>
      </c>
      <c r="E45" s="428">
        <f>F45+O45</f>
        <v>1320</v>
      </c>
      <c r="F45" s="428">
        <f>G45+J45+K45+L45+M45+N45</f>
        <v>1320</v>
      </c>
      <c r="G45" s="428">
        <f>H45+I45</f>
        <v>1320</v>
      </c>
      <c r="H45" s="433"/>
      <c r="I45" s="433">
        <v>1320</v>
      </c>
      <c r="J45" s="433"/>
      <c r="K45" s="433"/>
      <c r="L45" s="433"/>
      <c r="M45" s="433"/>
      <c r="N45" s="433"/>
      <c r="O45" s="434"/>
      <c r="P45" s="434"/>
      <c r="Q45" s="434"/>
      <c r="R45" s="433"/>
    </row>
    <row r="46" spans="1:18" ht="17.25" customHeight="1">
      <c r="A46" s="409"/>
      <c r="B46" s="409"/>
      <c r="C46" s="409">
        <v>4410</v>
      </c>
      <c r="D46" s="432" t="s">
        <v>353</v>
      </c>
      <c r="E46" s="428">
        <f>F46+O46</f>
        <v>200</v>
      </c>
      <c r="F46" s="428">
        <f>G46+J46+K46+L46+M46+N46</f>
        <v>200</v>
      </c>
      <c r="G46" s="428">
        <f>H46+I46</f>
        <v>200</v>
      </c>
      <c r="H46" s="433"/>
      <c r="I46" s="433">
        <v>200</v>
      </c>
      <c r="J46" s="433"/>
      <c r="K46" s="433"/>
      <c r="L46" s="433"/>
      <c r="M46" s="433"/>
      <c r="N46" s="433"/>
      <c r="O46" s="434"/>
      <c r="P46" s="434"/>
      <c r="Q46" s="434"/>
      <c r="R46" s="433"/>
    </row>
    <row r="47" spans="1:18" ht="17.25" customHeight="1">
      <c r="A47" s="409"/>
      <c r="B47" s="409"/>
      <c r="C47" s="409">
        <v>4440</v>
      </c>
      <c r="D47" s="432" t="s">
        <v>303</v>
      </c>
      <c r="E47" s="428">
        <f>F47+O47</f>
        <v>7592</v>
      </c>
      <c r="F47" s="428">
        <f>G47+J47+K47+L47+M47+N47</f>
        <v>7592</v>
      </c>
      <c r="G47" s="428">
        <f>H47+I47</f>
        <v>7592</v>
      </c>
      <c r="H47" s="433"/>
      <c r="I47" s="433">
        <v>7592</v>
      </c>
      <c r="J47" s="433"/>
      <c r="K47" s="433"/>
      <c r="L47" s="433"/>
      <c r="M47" s="433"/>
      <c r="N47" s="433"/>
      <c r="O47" s="434"/>
      <c r="P47" s="434"/>
      <c r="Q47" s="434"/>
      <c r="R47" s="433"/>
    </row>
    <row r="48" spans="1:18" ht="27" customHeight="1">
      <c r="A48" s="409"/>
      <c r="B48" s="409"/>
      <c r="C48" s="409">
        <v>4700</v>
      </c>
      <c r="D48" s="401" t="s">
        <v>355</v>
      </c>
      <c r="E48" s="428">
        <f>F48+O48</f>
        <v>1000</v>
      </c>
      <c r="F48" s="428">
        <f>G48+J48+K48+L48+M48+N48</f>
        <v>1000</v>
      </c>
      <c r="G48" s="428">
        <f>H48+I48</f>
        <v>1000</v>
      </c>
      <c r="H48" s="433"/>
      <c r="I48" s="433">
        <v>1000</v>
      </c>
      <c r="J48" s="433"/>
      <c r="K48" s="433"/>
      <c r="L48" s="433"/>
      <c r="M48" s="433"/>
      <c r="N48" s="433"/>
      <c r="O48" s="434"/>
      <c r="P48" s="434"/>
      <c r="Q48" s="434"/>
      <c r="R48" s="433"/>
    </row>
    <row r="49" spans="1:18" ht="16.5" customHeight="1">
      <c r="A49" s="405"/>
      <c r="B49" s="405">
        <v>80195</v>
      </c>
      <c r="C49" s="406"/>
      <c r="D49" s="397" t="s">
        <v>95</v>
      </c>
      <c r="E49" s="407">
        <f>SUM(E50:E50)</f>
        <v>13698</v>
      </c>
      <c r="F49" s="407">
        <f>SUM(F50:F50)</f>
        <v>13698</v>
      </c>
      <c r="G49" s="407">
        <f>SUM(G50:G50)</f>
        <v>13698</v>
      </c>
      <c r="H49" s="407">
        <f>SUM(H50:H50)</f>
        <v>0</v>
      </c>
      <c r="I49" s="407">
        <f>SUM(I50:I50)</f>
        <v>13698</v>
      </c>
      <c r="J49" s="407">
        <f>SUM(J50:J50)</f>
        <v>0</v>
      </c>
      <c r="K49" s="407">
        <f>SUM(K50:K50)</f>
        <v>0</v>
      </c>
      <c r="L49" s="407">
        <f>SUM(L50:L50)</f>
        <v>0</v>
      </c>
      <c r="M49" s="407">
        <f>SUM(M50:M50)</f>
        <v>0</v>
      </c>
      <c r="N49" s="407">
        <f>SUM(N50:N50)</f>
        <v>0</v>
      </c>
      <c r="O49" s="407">
        <f>SUM(O50:O50)</f>
        <v>0</v>
      </c>
      <c r="P49" s="407">
        <f>SUM(P50:P50)</f>
        <v>0</v>
      </c>
      <c r="Q49" s="407">
        <f>SUM(Q50:Q50)</f>
        <v>0</v>
      </c>
      <c r="R49" s="407">
        <f>SUM(R50:R50)</f>
        <v>0</v>
      </c>
    </row>
    <row r="50" spans="1:18" ht="17.25" customHeight="1">
      <c r="A50" s="405"/>
      <c r="B50" s="405"/>
      <c r="C50" s="406">
        <v>4440</v>
      </c>
      <c r="D50" s="427" t="s">
        <v>303</v>
      </c>
      <c r="E50" s="428">
        <f>F50+O50</f>
        <v>13698</v>
      </c>
      <c r="F50" s="428">
        <f>G50+J50+K50+L50+M50+N50</f>
        <v>13698</v>
      </c>
      <c r="G50" s="428">
        <f>H50+I50</f>
        <v>13698</v>
      </c>
      <c r="H50" s="404">
        <v>0</v>
      </c>
      <c r="I50" s="404">
        <v>13698</v>
      </c>
      <c r="J50" s="404">
        <v>0</v>
      </c>
      <c r="K50" s="404">
        <v>0</v>
      </c>
      <c r="L50" s="404"/>
      <c r="M50" s="404"/>
      <c r="N50" s="404"/>
      <c r="O50" s="429"/>
      <c r="P50" s="429"/>
      <c r="Q50" s="429"/>
      <c r="R50" s="404"/>
    </row>
    <row r="51" spans="1:18" ht="12.75" hidden="1">
      <c r="A51" s="352"/>
      <c r="B51" s="352"/>
      <c r="C51" s="352"/>
      <c r="D51" s="42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425"/>
      <c r="P51" s="425"/>
      <c r="Q51" s="425"/>
      <c r="R51" s="354"/>
    </row>
    <row r="52" spans="1:18" ht="12.75" hidden="1">
      <c r="A52" s="352"/>
      <c r="B52" s="352"/>
      <c r="C52" s="352"/>
      <c r="D52" s="42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425"/>
      <c r="P52" s="425"/>
      <c r="Q52" s="425"/>
      <c r="R52" s="354"/>
    </row>
  </sheetData>
  <mergeCells count="20">
    <mergeCell ref="B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8"/>
  <headerFooter alignWithMargins="0">
    <oddHeader>&amp;R&amp;"Times New Roman,Normalny"&amp;12Załącznik Nr 21 do projektu uchwały Nr   Rady Miejskiej w Barlinku z dnia ........grudnia 2010</oddHeader>
    <oddFooter>&amp;C&amp;"Times New Roman,Normalny"&amp;12Strona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6"/>
  <sheetViews>
    <sheetView showGridLines="0" defaultGridColor="0" view="pageBreakPreview" zoomScaleSheetLayoutView="100" colorId="15" workbookViewId="0" topLeftCell="A13">
      <selection activeCell="R34" sqref="R34"/>
    </sheetView>
  </sheetViews>
  <sheetFormatPr defaultColWidth="9.00390625" defaultRowHeight="12.75"/>
  <cols>
    <col min="1" max="1" width="5.125" style="374" customWidth="1"/>
    <col min="2" max="2" width="6.00390625" style="374" customWidth="1"/>
    <col min="3" max="3" width="5.875" style="374" customWidth="1"/>
    <col min="4" max="4" width="47.125" style="374" customWidth="1"/>
    <col min="5" max="5" width="11.625" style="374" customWidth="1"/>
    <col min="6" max="9" width="9.50390625" style="374" customWidth="1"/>
    <col min="10" max="10" width="6.625" style="374" customWidth="1"/>
    <col min="11" max="11" width="6.75390625" style="374" customWidth="1"/>
    <col min="12" max="12" width="6.875" style="374" customWidth="1"/>
    <col min="13" max="17" width="6.375" style="374" customWidth="1"/>
    <col min="18" max="18" width="7.25390625" style="374" customWidth="1"/>
    <col min="19" max="16384" width="9.125" style="374" customWidth="1"/>
  </cols>
  <sheetData>
    <row r="1" spans="2:18" ht="18.75" customHeight="1">
      <c r="B1" s="435" t="s">
        <v>479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0.5" customHeight="1">
      <c r="A2" s="339" t="s">
        <v>66</v>
      </c>
      <c r="B2" s="339" t="s">
        <v>86</v>
      </c>
      <c r="C2" s="339" t="s">
        <v>87</v>
      </c>
      <c r="D2" s="339" t="s">
        <v>251</v>
      </c>
      <c r="E2" s="339" t="s">
        <v>252</v>
      </c>
      <c r="F2" s="340" t="s">
        <v>253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1:18" ht="11.25" customHeight="1">
      <c r="A3" s="339"/>
      <c r="B3" s="339"/>
      <c r="C3" s="339"/>
      <c r="D3" s="339"/>
      <c r="E3" s="339"/>
      <c r="F3" s="256" t="s">
        <v>242</v>
      </c>
      <c r="G3" s="255" t="s">
        <v>90</v>
      </c>
      <c r="H3" s="255"/>
      <c r="I3" s="255"/>
      <c r="J3" s="255"/>
      <c r="K3" s="255"/>
      <c r="L3" s="255"/>
      <c r="M3" s="255"/>
      <c r="N3" s="255"/>
      <c r="O3" s="254" t="s">
        <v>254</v>
      </c>
      <c r="P3" s="255" t="s">
        <v>90</v>
      </c>
      <c r="Q3" s="255"/>
      <c r="R3" s="255"/>
    </row>
    <row r="4" spans="1:18" ht="11.25" customHeight="1">
      <c r="A4" s="339"/>
      <c r="B4" s="339"/>
      <c r="C4" s="339"/>
      <c r="D4" s="339"/>
      <c r="E4" s="339"/>
      <c r="F4" s="256"/>
      <c r="G4" s="256" t="s">
        <v>255</v>
      </c>
      <c r="H4" s="255" t="s">
        <v>13</v>
      </c>
      <c r="I4" s="255"/>
      <c r="J4" s="254" t="s">
        <v>256</v>
      </c>
      <c r="K4" s="254" t="s">
        <v>257</v>
      </c>
      <c r="L4" s="254" t="s">
        <v>264</v>
      </c>
      <c r="M4" s="254" t="s">
        <v>258</v>
      </c>
      <c r="N4" s="254" t="s">
        <v>259</v>
      </c>
      <c r="O4" s="254"/>
      <c r="P4" s="254" t="s">
        <v>260</v>
      </c>
      <c r="Q4" s="255" t="s">
        <v>90</v>
      </c>
      <c r="R4" s="254" t="s">
        <v>261</v>
      </c>
    </row>
    <row r="5" spans="1:18" ht="147">
      <c r="A5" s="339"/>
      <c r="B5" s="339"/>
      <c r="C5" s="339"/>
      <c r="D5" s="339"/>
      <c r="E5" s="339"/>
      <c r="F5" s="256"/>
      <c r="G5" s="256"/>
      <c r="H5" s="254" t="s">
        <v>262</v>
      </c>
      <c r="I5" s="254" t="s">
        <v>263</v>
      </c>
      <c r="J5" s="254"/>
      <c r="K5" s="254"/>
      <c r="L5" s="254"/>
      <c r="M5" s="254"/>
      <c r="N5" s="254"/>
      <c r="O5" s="254"/>
      <c r="P5" s="254"/>
      <c r="Q5" s="256" t="s">
        <v>264</v>
      </c>
      <c r="R5" s="254"/>
    </row>
    <row r="6" spans="1:18" ht="10.5" customHeight="1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1">
        <v>9</v>
      </c>
      <c r="J6" s="341">
        <v>10</v>
      </c>
      <c r="K6" s="341">
        <v>11</v>
      </c>
      <c r="L6" s="341">
        <v>12</v>
      </c>
      <c r="M6" s="341">
        <v>13</v>
      </c>
      <c r="N6" s="341">
        <v>14</v>
      </c>
      <c r="O6" s="341">
        <v>15</v>
      </c>
      <c r="P6" s="341">
        <v>16</v>
      </c>
      <c r="Q6" s="341">
        <v>17</v>
      </c>
      <c r="R6" s="341">
        <v>18</v>
      </c>
    </row>
    <row r="7" spans="1:18" ht="16.5" customHeight="1">
      <c r="A7" s="394">
        <v>801</v>
      </c>
      <c r="B7" s="394"/>
      <c r="C7" s="394"/>
      <c r="D7" s="394" t="s">
        <v>180</v>
      </c>
      <c r="E7" s="426">
        <f>E29+E8</f>
        <v>327426</v>
      </c>
      <c r="F7" s="426">
        <f>F29+F8</f>
        <v>327426</v>
      </c>
      <c r="G7" s="426">
        <f>G29+G8</f>
        <v>326168</v>
      </c>
      <c r="H7" s="426">
        <f>H29+H8</f>
        <v>299665</v>
      </c>
      <c r="I7" s="426">
        <f>I29+I8</f>
        <v>26503</v>
      </c>
      <c r="J7" s="426">
        <f>J29+J8</f>
        <v>0</v>
      </c>
      <c r="K7" s="426">
        <f>K29+K8</f>
        <v>1258</v>
      </c>
      <c r="L7" s="426">
        <f>L29+L8</f>
        <v>0</v>
      </c>
      <c r="M7" s="426">
        <f>M29+M8</f>
        <v>0</v>
      </c>
      <c r="N7" s="426">
        <f>N29+N8</f>
        <v>0</v>
      </c>
      <c r="O7" s="426">
        <f>O29+O8</f>
        <v>0</v>
      </c>
      <c r="P7" s="426">
        <f>P29+P8</f>
        <v>0</v>
      </c>
      <c r="Q7" s="426">
        <f>Q29+Q8</f>
        <v>0</v>
      </c>
      <c r="R7" s="426">
        <f>R29+R8</f>
        <v>0</v>
      </c>
    </row>
    <row r="8" spans="1:18" ht="16.5" customHeight="1">
      <c r="A8" s="405"/>
      <c r="B8" s="405">
        <v>80110</v>
      </c>
      <c r="C8" s="405"/>
      <c r="D8" s="397" t="s">
        <v>190</v>
      </c>
      <c r="E8" s="407">
        <f>SUM(E9:E27)</f>
        <v>326746</v>
      </c>
      <c r="F8" s="407">
        <f>SUM(F9:F27)</f>
        <v>326746</v>
      </c>
      <c r="G8" s="407">
        <f>SUM(G9:G27)</f>
        <v>325488</v>
      </c>
      <c r="H8" s="407">
        <f>SUM(H9:H28)</f>
        <v>299665</v>
      </c>
      <c r="I8" s="407">
        <f>SUM(I9:I28)</f>
        <v>25823</v>
      </c>
      <c r="J8" s="407">
        <f>SUM(J9:J28)</f>
        <v>0</v>
      </c>
      <c r="K8" s="407">
        <f>SUM(K9:K28)</f>
        <v>1258</v>
      </c>
      <c r="L8" s="407">
        <f>SUM(L9:L28)</f>
        <v>0</v>
      </c>
      <c r="M8" s="407">
        <f>SUM(M9:M28)</f>
        <v>0</v>
      </c>
      <c r="N8" s="407">
        <f>SUM(N9:N28)</f>
        <v>0</v>
      </c>
      <c r="O8" s="407">
        <f>SUM(O9:O28)</f>
        <v>0</v>
      </c>
      <c r="P8" s="407">
        <f>SUM(P9:P28)</f>
        <v>0</v>
      </c>
      <c r="Q8" s="407">
        <f>SUM(Q9:Q28)</f>
        <v>0</v>
      </c>
      <c r="R8" s="407">
        <f>SUM(R9:R28)</f>
        <v>0</v>
      </c>
    </row>
    <row r="9" spans="1:18" ht="17.25" customHeight="1">
      <c r="A9" s="405"/>
      <c r="B9" s="405"/>
      <c r="C9" s="406">
        <v>3020</v>
      </c>
      <c r="D9" s="427" t="s">
        <v>345</v>
      </c>
      <c r="E9" s="428">
        <f>F9+O9</f>
        <v>1258</v>
      </c>
      <c r="F9" s="428">
        <f>G9+J9+K9+L9+M9+N9</f>
        <v>1258</v>
      </c>
      <c r="G9" s="428"/>
      <c r="H9" s="431"/>
      <c r="I9" s="431"/>
      <c r="J9" s="431">
        <v>0</v>
      </c>
      <c r="K9" s="431">
        <v>1258</v>
      </c>
      <c r="L9" s="404"/>
      <c r="M9" s="404"/>
      <c r="N9" s="404"/>
      <c r="O9" s="404"/>
      <c r="P9" s="429"/>
      <c r="Q9" s="429"/>
      <c r="R9" s="404"/>
    </row>
    <row r="10" spans="1:18" ht="17.25" customHeight="1">
      <c r="A10" s="406"/>
      <c r="B10" s="406"/>
      <c r="C10" s="406">
        <v>3240</v>
      </c>
      <c r="D10" s="427" t="s">
        <v>357</v>
      </c>
      <c r="E10" s="428">
        <f>F10+O10</f>
        <v>0</v>
      </c>
      <c r="F10" s="428">
        <f>G10+J10+K10+L10+M10+N10</f>
        <v>0</v>
      </c>
      <c r="G10" s="428"/>
      <c r="H10" s="431"/>
      <c r="I10" s="431"/>
      <c r="J10" s="431"/>
      <c r="K10" s="431"/>
      <c r="L10" s="404"/>
      <c r="M10" s="404"/>
      <c r="N10" s="404"/>
      <c r="O10" s="404"/>
      <c r="P10" s="429"/>
      <c r="Q10" s="429"/>
      <c r="R10" s="404"/>
    </row>
    <row r="11" spans="1:18" ht="17.25" customHeight="1">
      <c r="A11" s="406"/>
      <c r="B11" s="406"/>
      <c r="C11" s="406">
        <v>4010</v>
      </c>
      <c r="D11" s="427" t="s">
        <v>328</v>
      </c>
      <c r="E11" s="428">
        <f>F11+O11</f>
        <v>233113</v>
      </c>
      <c r="F11" s="428">
        <f>G11+J11+K11+L11+M11+N11</f>
        <v>233113</v>
      </c>
      <c r="G11" s="428">
        <f>H11+I11</f>
        <v>233113</v>
      </c>
      <c r="H11" s="431">
        <f>(178724+16199+2840+4200+10310)+(19125+750+965)</f>
        <v>233113</v>
      </c>
      <c r="I11" s="431"/>
      <c r="J11" s="431"/>
      <c r="K11" s="431"/>
      <c r="L11" s="404"/>
      <c r="M11" s="404"/>
      <c r="N11" s="404"/>
      <c r="O11" s="404"/>
      <c r="P11" s="429"/>
      <c r="Q11" s="429"/>
      <c r="R11" s="404"/>
    </row>
    <row r="12" spans="1:18" ht="17.25" customHeight="1">
      <c r="A12" s="406"/>
      <c r="B12" s="406"/>
      <c r="C12" s="406">
        <v>4040</v>
      </c>
      <c r="D12" s="427" t="s">
        <v>346</v>
      </c>
      <c r="E12" s="428">
        <f>F12+O12</f>
        <v>20090</v>
      </c>
      <c r="F12" s="428">
        <f>G12+J12+K12+L12+M12+N12</f>
        <v>20090</v>
      </c>
      <c r="G12" s="428">
        <f>H12+I12</f>
        <v>20090</v>
      </c>
      <c r="H12" s="431">
        <v>20090</v>
      </c>
      <c r="I12" s="431"/>
      <c r="J12" s="431"/>
      <c r="K12" s="431"/>
      <c r="L12" s="404"/>
      <c r="M12" s="404"/>
      <c r="N12" s="404"/>
      <c r="O12" s="404"/>
      <c r="P12" s="429"/>
      <c r="Q12" s="429"/>
      <c r="R12" s="404"/>
    </row>
    <row r="13" spans="1:18" ht="17.25" customHeight="1">
      <c r="A13" s="406"/>
      <c r="B13" s="406"/>
      <c r="C13" s="406">
        <v>4110</v>
      </c>
      <c r="D13" s="427" t="s">
        <v>347</v>
      </c>
      <c r="E13" s="428">
        <f>F13+O13</f>
        <v>40259</v>
      </c>
      <c r="F13" s="428">
        <f>G13+J13+K13+L13+M13+N13</f>
        <v>40259</v>
      </c>
      <c r="G13" s="428">
        <f>H13+I13</f>
        <v>40259</v>
      </c>
      <c r="H13" s="428">
        <v>40259</v>
      </c>
      <c r="I13" s="431"/>
      <c r="J13" s="431"/>
      <c r="K13" s="431"/>
      <c r="L13" s="404"/>
      <c r="M13" s="404"/>
      <c r="N13" s="404"/>
      <c r="O13" s="404"/>
      <c r="P13" s="429"/>
      <c r="Q13" s="429"/>
      <c r="R13" s="404"/>
    </row>
    <row r="14" spans="1:18" ht="17.25" customHeight="1">
      <c r="A14" s="406"/>
      <c r="B14" s="406"/>
      <c r="C14" s="406">
        <v>4120</v>
      </c>
      <c r="D14" s="427" t="s">
        <v>348</v>
      </c>
      <c r="E14" s="428">
        <f>F14+O14</f>
        <v>6203</v>
      </c>
      <c r="F14" s="428">
        <f>G14+J14+K14+L14+M14+N14</f>
        <v>6203</v>
      </c>
      <c r="G14" s="428">
        <f>H14+I14</f>
        <v>6203</v>
      </c>
      <c r="H14" s="428">
        <v>6203</v>
      </c>
      <c r="I14" s="431"/>
      <c r="J14" s="431"/>
      <c r="K14" s="431"/>
      <c r="L14" s="404"/>
      <c r="M14" s="404"/>
      <c r="N14" s="404"/>
      <c r="O14" s="404"/>
      <c r="P14" s="429"/>
      <c r="Q14" s="429"/>
      <c r="R14" s="404"/>
    </row>
    <row r="15" spans="1:18" ht="17.25" customHeight="1">
      <c r="A15" s="406"/>
      <c r="B15" s="406"/>
      <c r="C15" s="406">
        <v>4170</v>
      </c>
      <c r="D15" s="427" t="s">
        <v>471</v>
      </c>
      <c r="E15" s="428">
        <f>F15+O15</f>
        <v>0</v>
      </c>
      <c r="F15" s="428">
        <f>G15+J15+K15+L15+M15+N15</f>
        <v>0</v>
      </c>
      <c r="G15" s="428">
        <f>H15+I15</f>
        <v>0</v>
      </c>
      <c r="H15" s="431"/>
      <c r="I15" s="431"/>
      <c r="J15" s="431"/>
      <c r="K15" s="431"/>
      <c r="L15" s="404"/>
      <c r="M15" s="404"/>
      <c r="N15" s="404"/>
      <c r="O15" s="404"/>
      <c r="P15" s="429"/>
      <c r="Q15" s="429"/>
      <c r="R15" s="404"/>
    </row>
    <row r="16" spans="1:18" ht="17.25" customHeight="1">
      <c r="A16" s="406"/>
      <c r="B16" s="406"/>
      <c r="C16" s="406">
        <v>4210</v>
      </c>
      <c r="D16" s="427" t="s">
        <v>339</v>
      </c>
      <c r="E16" s="428">
        <f>F16+O16</f>
        <v>5000</v>
      </c>
      <c r="F16" s="428">
        <f>G16+J16+K16+L16+M16+N16</f>
        <v>5000</v>
      </c>
      <c r="G16" s="428">
        <f>H16+I16</f>
        <v>5000</v>
      </c>
      <c r="H16" s="431"/>
      <c r="I16" s="431">
        <v>5000</v>
      </c>
      <c r="J16" s="431"/>
      <c r="K16" s="431"/>
      <c r="L16" s="404"/>
      <c r="M16" s="404"/>
      <c r="N16" s="404"/>
      <c r="O16" s="404"/>
      <c r="P16" s="429"/>
      <c r="Q16" s="429"/>
      <c r="R16" s="404"/>
    </row>
    <row r="17" spans="1:18" ht="17.25" customHeight="1">
      <c r="A17" s="406"/>
      <c r="B17" s="406"/>
      <c r="C17" s="406">
        <v>4240</v>
      </c>
      <c r="D17" s="427" t="s">
        <v>340</v>
      </c>
      <c r="E17" s="428">
        <f>F17+O17</f>
        <v>100</v>
      </c>
      <c r="F17" s="428">
        <f>G17+J17+K17+L17+M17+N17</f>
        <v>100</v>
      </c>
      <c r="G17" s="428">
        <f>H17+I17</f>
        <v>100</v>
      </c>
      <c r="H17" s="431"/>
      <c r="I17" s="431">
        <v>100</v>
      </c>
      <c r="J17" s="431"/>
      <c r="K17" s="431"/>
      <c r="L17" s="404"/>
      <c r="M17" s="404"/>
      <c r="N17" s="404"/>
      <c r="O17" s="404"/>
      <c r="P17" s="429"/>
      <c r="Q17" s="429"/>
      <c r="R17" s="404"/>
    </row>
    <row r="18" spans="1:18" ht="17.25" customHeight="1">
      <c r="A18" s="406"/>
      <c r="B18" s="406"/>
      <c r="C18" s="406">
        <v>4260</v>
      </c>
      <c r="D18" s="427" t="s">
        <v>349</v>
      </c>
      <c r="E18" s="428">
        <f>F18+O18</f>
        <v>0</v>
      </c>
      <c r="F18" s="428">
        <f>G18+J18+K18+L18+M18+N18</f>
        <v>0</v>
      </c>
      <c r="G18" s="428">
        <f>H18+I18</f>
        <v>0</v>
      </c>
      <c r="H18" s="431"/>
      <c r="I18" s="431"/>
      <c r="J18" s="431"/>
      <c r="K18" s="431"/>
      <c r="L18" s="404"/>
      <c r="M18" s="404"/>
      <c r="N18" s="404"/>
      <c r="O18" s="404"/>
      <c r="P18" s="429"/>
      <c r="Q18" s="429"/>
      <c r="R18" s="404"/>
    </row>
    <row r="19" spans="1:18" ht="17.25" customHeight="1">
      <c r="A19" s="406"/>
      <c r="B19" s="406"/>
      <c r="C19" s="406">
        <v>4270</v>
      </c>
      <c r="D19" s="427" t="s">
        <v>294</v>
      </c>
      <c r="E19" s="428">
        <f>F19+O19</f>
        <v>0</v>
      </c>
      <c r="F19" s="428">
        <f>G19+J19+K19+L19+M19+N19</f>
        <v>0</v>
      </c>
      <c r="G19" s="428">
        <f>H19+I19</f>
        <v>0</v>
      </c>
      <c r="H19" s="431"/>
      <c r="I19" s="431"/>
      <c r="J19" s="431"/>
      <c r="K19" s="431"/>
      <c r="L19" s="404"/>
      <c r="M19" s="404"/>
      <c r="N19" s="404"/>
      <c r="O19" s="404"/>
      <c r="P19" s="429"/>
      <c r="Q19" s="429"/>
      <c r="R19" s="404"/>
    </row>
    <row r="20" spans="1:18" ht="17.25" customHeight="1">
      <c r="A20" s="406"/>
      <c r="B20" s="406"/>
      <c r="C20" s="406">
        <v>4280</v>
      </c>
      <c r="D20" s="427" t="s">
        <v>341</v>
      </c>
      <c r="E20" s="428">
        <f>F20+O20</f>
        <v>700</v>
      </c>
      <c r="F20" s="428">
        <f>G20+J20+K20+L20+M20+N20</f>
        <v>700</v>
      </c>
      <c r="G20" s="428">
        <f>H20+I20</f>
        <v>700</v>
      </c>
      <c r="H20" s="431"/>
      <c r="I20" s="431">
        <v>700</v>
      </c>
      <c r="J20" s="431"/>
      <c r="K20" s="431"/>
      <c r="L20" s="404"/>
      <c r="M20" s="404"/>
      <c r="N20" s="404"/>
      <c r="O20" s="404"/>
      <c r="P20" s="429"/>
      <c r="Q20" s="429"/>
      <c r="R20" s="404"/>
    </row>
    <row r="21" spans="1:18" ht="17.25" customHeight="1">
      <c r="A21" s="406"/>
      <c r="B21" s="406"/>
      <c r="C21" s="406">
        <v>4300</v>
      </c>
      <c r="D21" s="427" t="s">
        <v>350</v>
      </c>
      <c r="E21" s="428">
        <f>F21+O21</f>
        <v>1000</v>
      </c>
      <c r="F21" s="428">
        <f>G21+J21+K21+L21+M21+N21</f>
        <v>1000</v>
      </c>
      <c r="G21" s="428">
        <f>H21+I21</f>
        <v>1000</v>
      </c>
      <c r="H21" s="431"/>
      <c r="I21" s="431">
        <v>1000</v>
      </c>
      <c r="J21" s="431"/>
      <c r="K21" s="431"/>
      <c r="L21" s="404"/>
      <c r="M21" s="404"/>
      <c r="N21" s="404"/>
      <c r="O21" s="404"/>
      <c r="P21" s="429"/>
      <c r="Q21" s="429"/>
      <c r="R21" s="404"/>
    </row>
    <row r="22" spans="1:18" ht="17.25" customHeight="1">
      <c r="A22" s="406"/>
      <c r="B22" s="406"/>
      <c r="C22" s="406">
        <v>4350</v>
      </c>
      <c r="D22" s="427" t="s">
        <v>351</v>
      </c>
      <c r="E22" s="428">
        <f>F22+O22</f>
        <v>0</v>
      </c>
      <c r="F22" s="428">
        <f>G22+J22+K22+L22+M22+N22</f>
        <v>0</v>
      </c>
      <c r="G22" s="428">
        <f>H22+I22</f>
        <v>0</v>
      </c>
      <c r="H22" s="431"/>
      <c r="I22" s="431"/>
      <c r="J22" s="431"/>
      <c r="K22" s="431"/>
      <c r="L22" s="404"/>
      <c r="M22" s="404"/>
      <c r="N22" s="404"/>
      <c r="O22" s="404"/>
      <c r="P22" s="429"/>
      <c r="Q22" s="429"/>
      <c r="R22" s="404"/>
    </row>
    <row r="23" spans="1:18" ht="17.25" customHeight="1">
      <c r="A23" s="406"/>
      <c r="B23" s="406"/>
      <c r="C23" s="406">
        <v>4370</v>
      </c>
      <c r="D23" s="427" t="s">
        <v>352</v>
      </c>
      <c r="E23" s="428">
        <f>F23+O23</f>
        <v>500</v>
      </c>
      <c r="F23" s="428">
        <f>G23+J23+K23+L23+M23+N23</f>
        <v>500</v>
      </c>
      <c r="G23" s="428">
        <f>H23+I23</f>
        <v>500</v>
      </c>
      <c r="H23" s="431"/>
      <c r="I23" s="431">
        <v>500</v>
      </c>
      <c r="J23" s="431"/>
      <c r="K23" s="431"/>
      <c r="L23" s="404"/>
      <c r="M23" s="404"/>
      <c r="N23" s="404"/>
      <c r="O23" s="404"/>
      <c r="P23" s="429"/>
      <c r="Q23" s="429"/>
      <c r="R23" s="404"/>
    </row>
    <row r="24" spans="1:18" ht="17.25" customHeight="1">
      <c r="A24" s="406"/>
      <c r="B24" s="406"/>
      <c r="C24" s="406">
        <v>4410</v>
      </c>
      <c r="D24" s="427" t="s">
        <v>353</v>
      </c>
      <c r="E24" s="428">
        <f>F24+O24</f>
        <v>400</v>
      </c>
      <c r="F24" s="428">
        <f>G24+J24+K24+L24+M24+N24</f>
        <v>400</v>
      </c>
      <c r="G24" s="428">
        <f>H24+I24</f>
        <v>400</v>
      </c>
      <c r="H24" s="431"/>
      <c r="I24" s="431">
        <v>400</v>
      </c>
      <c r="J24" s="431"/>
      <c r="K24" s="431"/>
      <c r="L24" s="404"/>
      <c r="M24" s="404"/>
      <c r="N24" s="404"/>
      <c r="O24" s="404"/>
      <c r="P24" s="429"/>
      <c r="Q24" s="429"/>
      <c r="R24" s="404"/>
    </row>
    <row r="25" spans="1:18" ht="17.25" customHeight="1">
      <c r="A25" s="406"/>
      <c r="B25" s="406"/>
      <c r="C25" s="406">
        <v>4430</v>
      </c>
      <c r="D25" s="427" t="s">
        <v>354</v>
      </c>
      <c r="E25" s="428">
        <f>F25+O25</f>
        <v>0</v>
      </c>
      <c r="F25" s="428">
        <f>G25+J25+K25+L25+M25+N25</f>
        <v>0</v>
      </c>
      <c r="G25" s="428">
        <f>H25+I25</f>
        <v>0</v>
      </c>
      <c r="H25" s="428"/>
      <c r="I25" s="431">
        <v>0</v>
      </c>
      <c r="J25" s="428"/>
      <c r="K25" s="428"/>
      <c r="L25" s="404"/>
      <c r="M25" s="404"/>
      <c r="N25" s="404"/>
      <c r="O25" s="404"/>
      <c r="P25" s="429"/>
      <c r="Q25" s="429"/>
      <c r="R25" s="404"/>
    </row>
    <row r="26" spans="1:18" ht="17.25" customHeight="1">
      <c r="A26" s="406"/>
      <c r="B26" s="406"/>
      <c r="C26" s="406">
        <v>4440</v>
      </c>
      <c r="D26" s="427" t="s">
        <v>303</v>
      </c>
      <c r="E26" s="428">
        <f>F26+O26</f>
        <v>18123</v>
      </c>
      <c r="F26" s="428">
        <f>G26+J26+K26+L26+M26+N26</f>
        <v>18123</v>
      </c>
      <c r="G26" s="428">
        <f>H26+I26</f>
        <v>18123</v>
      </c>
      <c r="H26" s="431"/>
      <c r="I26" s="431">
        <v>18123</v>
      </c>
      <c r="J26" s="431"/>
      <c r="K26" s="431"/>
      <c r="L26" s="404"/>
      <c r="M26" s="404"/>
      <c r="N26" s="404"/>
      <c r="O26" s="404"/>
      <c r="P26" s="429"/>
      <c r="Q26" s="429"/>
      <c r="R26" s="404"/>
    </row>
    <row r="27" spans="1:18" ht="27" customHeight="1">
      <c r="A27" s="406"/>
      <c r="B27" s="406"/>
      <c r="C27" s="406">
        <v>4700</v>
      </c>
      <c r="D27" s="401" t="s">
        <v>355</v>
      </c>
      <c r="E27" s="428">
        <f>F27+O27</f>
        <v>0</v>
      </c>
      <c r="F27" s="428">
        <f>G27+J27+K27+L27+M27+N27</f>
        <v>0</v>
      </c>
      <c r="G27" s="428">
        <f>H27+I27</f>
        <v>0</v>
      </c>
      <c r="H27" s="404"/>
      <c r="I27" s="404">
        <v>0</v>
      </c>
      <c r="J27" s="404"/>
      <c r="K27" s="404"/>
      <c r="L27" s="404"/>
      <c r="M27" s="404"/>
      <c r="N27" s="404"/>
      <c r="O27" s="404"/>
      <c r="P27" s="429"/>
      <c r="Q27" s="429"/>
      <c r="R27" s="404"/>
    </row>
    <row r="28" spans="1:18" ht="17.25" customHeight="1">
      <c r="A28" s="406"/>
      <c r="B28" s="406"/>
      <c r="C28" s="406">
        <v>6050</v>
      </c>
      <c r="D28" s="427" t="s">
        <v>437</v>
      </c>
      <c r="E28" s="428">
        <f>F28+O28</f>
        <v>0</v>
      </c>
      <c r="F28" s="428">
        <f>G28+J28+K28+L28+M28+N28</f>
        <v>0</v>
      </c>
      <c r="G28" s="428">
        <f>H28+I28</f>
        <v>0</v>
      </c>
      <c r="H28" s="404"/>
      <c r="I28" s="404"/>
      <c r="J28" s="404"/>
      <c r="K28" s="404"/>
      <c r="L28" s="404"/>
      <c r="M28" s="404"/>
      <c r="N28" s="404"/>
      <c r="O28" s="404"/>
      <c r="P28" s="429"/>
      <c r="Q28" s="429"/>
      <c r="R28" s="404"/>
    </row>
    <row r="29" spans="1:18" ht="16.5" customHeight="1">
      <c r="A29" s="397"/>
      <c r="B29" s="405">
        <v>80146</v>
      </c>
      <c r="C29" s="406"/>
      <c r="D29" s="397" t="s">
        <v>362</v>
      </c>
      <c r="E29" s="407">
        <f>SUM(E30:E34)</f>
        <v>680</v>
      </c>
      <c r="F29" s="407">
        <f>SUM(F30:F34)</f>
        <v>680</v>
      </c>
      <c r="G29" s="407">
        <f>SUM(G30:G34)</f>
        <v>680</v>
      </c>
      <c r="H29" s="407">
        <f>SUM(H30:H34)</f>
        <v>0</v>
      </c>
      <c r="I29" s="407">
        <f>SUM(I30:I34)</f>
        <v>680</v>
      </c>
      <c r="J29" s="407">
        <f>SUM(J30:J34)</f>
        <v>0</v>
      </c>
      <c r="K29" s="407">
        <f>SUM(K30:K34)</f>
        <v>0</v>
      </c>
      <c r="L29" s="407">
        <f>SUM(L30:L34)</f>
        <v>0</v>
      </c>
      <c r="M29" s="407">
        <f>SUM(M30:M34)</f>
        <v>0</v>
      </c>
      <c r="N29" s="407">
        <f>SUM(N30:N34)</f>
        <v>0</v>
      </c>
      <c r="O29" s="407">
        <f>SUM(O30:O34)</f>
        <v>0</v>
      </c>
      <c r="P29" s="407">
        <f>SUM(P30:P34)</f>
        <v>0</v>
      </c>
      <c r="Q29" s="407">
        <f>SUM(Q30:Q34)</f>
        <v>0</v>
      </c>
      <c r="R29" s="407">
        <f>SUM(R30:R34)</f>
        <v>0</v>
      </c>
    </row>
    <row r="30" spans="1:18" ht="17.25" customHeight="1">
      <c r="A30" s="405"/>
      <c r="B30" s="405"/>
      <c r="C30" s="406">
        <v>4210</v>
      </c>
      <c r="D30" s="427" t="s">
        <v>339</v>
      </c>
      <c r="E30" s="428">
        <f>F30+O30</f>
        <v>0</v>
      </c>
      <c r="F30" s="428">
        <f>G30+J30+K30+L30+M30+N30</f>
        <v>0</v>
      </c>
      <c r="G30" s="428">
        <f>H30+I30</f>
        <v>0</v>
      </c>
      <c r="H30" s="404"/>
      <c r="I30" s="431">
        <v>0</v>
      </c>
      <c r="J30" s="404"/>
      <c r="K30" s="404"/>
      <c r="L30" s="404"/>
      <c r="M30" s="404"/>
      <c r="N30" s="404"/>
      <c r="O30" s="404"/>
      <c r="P30" s="429"/>
      <c r="Q30" s="429"/>
      <c r="R30" s="404"/>
    </row>
    <row r="31" spans="1:18" ht="17.25" customHeight="1">
      <c r="A31" s="405"/>
      <c r="B31" s="405"/>
      <c r="C31" s="406">
        <v>4240</v>
      </c>
      <c r="D31" s="427" t="s">
        <v>340</v>
      </c>
      <c r="E31" s="428">
        <f>F31+O31</f>
        <v>0</v>
      </c>
      <c r="F31" s="428">
        <f>G31+J31+K31+L31+M31+N31</f>
        <v>0</v>
      </c>
      <c r="G31" s="428">
        <f>H31+I31</f>
        <v>0</v>
      </c>
      <c r="H31" s="431"/>
      <c r="I31" s="431"/>
      <c r="J31" s="404"/>
      <c r="K31" s="404"/>
      <c r="L31" s="404"/>
      <c r="M31" s="404"/>
      <c r="N31" s="404"/>
      <c r="O31" s="404"/>
      <c r="P31" s="429"/>
      <c r="Q31" s="429"/>
      <c r="R31" s="404"/>
    </row>
    <row r="32" spans="1:18" ht="17.25" customHeight="1">
      <c r="A32" s="406"/>
      <c r="B32" s="406"/>
      <c r="C32" s="406">
        <v>4300</v>
      </c>
      <c r="D32" s="427" t="s">
        <v>350</v>
      </c>
      <c r="E32" s="428">
        <f>F32+O32</f>
        <v>270</v>
      </c>
      <c r="F32" s="428">
        <f>G32+J32+K32+L32+M32+N32</f>
        <v>270</v>
      </c>
      <c r="G32" s="428">
        <f>H32+I32</f>
        <v>270</v>
      </c>
      <c r="H32" s="404"/>
      <c r="I32" s="431">
        <v>270</v>
      </c>
      <c r="J32" s="404"/>
      <c r="K32" s="404"/>
      <c r="L32" s="404"/>
      <c r="M32" s="404"/>
      <c r="N32" s="404"/>
      <c r="O32" s="404"/>
      <c r="P32" s="429"/>
      <c r="Q32" s="429"/>
      <c r="R32" s="404"/>
    </row>
    <row r="33" spans="1:18" ht="17.25" customHeight="1">
      <c r="A33" s="406"/>
      <c r="B33" s="406"/>
      <c r="C33" s="406">
        <v>4410</v>
      </c>
      <c r="D33" s="427" t="s">
        <v>353</v>
      </c>
      <c r="E33" s="428">
        <f>F33+O33</f>
        <v>210</v>
      </c>
      <c r="F33" s="428">
        <f>G33+J33+K33+L33+M33+N33</f>
        <v>210</v>
      </c>
      <c r="G33" s="428">
        <f>H33+I33</f>
        <v>210</v>
      </c>
      <c r="H33" s="404"/>
      <c r="I33" s="431">
        <v>210</v>
      </c>
      <c r="J33" s="404"/>
      <c r="K33" s="404"/>
      <c r="L33" s="404"/>
      <c r="M33" s="404"/>
      <c r="N33" s="404"/>
      <c r="O33" s="404"/>
      <c r="P33" s="429"/>
      <c r="Q33" s="429"/>
      <c r="R33" s="404"/>
    </row>
    <row r="34" spans="1:18" ht="27" customHeight="1">
      <c r="A34" s="406"/>
      <c r="B34" s="406"/>
      <c r="C34" s="406">
        <v>4700</v>
      </c>
      <c r="D34" s="401" t="s">
        <v>355</v>
      </c>
      <c r="E34" s="428">
        <f>F34+O34</f>
        <v>200</v>
      </c>
      <c r="F34" s="428">
        <f>G34+J34+K34+L34+M34+N34</f>
        <v>200</v>
      </c>
      <c r="G34" s="428">
        <f>H34+I34</f>
        <v>200</v>
      </c>
      <c r="H34" s="404"/>
      <c r="I34" s="431">
        <v>200</v>
      </c>
      <c r="J34" s="404"/>
      <c r="K34" s="404"/>
      <c r="L34" s="404"/>
      <c r="M34" s="404"/>
      <c r="N34" s="404"/>
      <c r="O34" s="404"/>
      <c r="P34" s="429"/>
      <c r="Q34" s="429"/>
      <c r="R34" s="404"/>
    </row>
    <row r="35" spans="1:18" ht="12.75" hidden="1">
      <c r="A35" s="352"/>
      <c r="B35" s="352"/>
      <c r="C35" s="352"/>
      <c r="D35" s="42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425"/>
      <c r="P35" s="425"/>
      <c r="Q35" s="425"/>
      <c r="R35" s="354"/>
    </row>
    <row r="36" spans="1:18" ht="12.75" hidden="1">
      <c r="A36" s="352"/>
      <c r="B36" s="352"/>
      <c r="C36" s="352"/>
      <c r="D36" s="42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425"/>
      <c r="P36" s="425"/>
      <c r="Q36" s="425"/>
      <c r="R36" s="354"/>
    </row>
  </sheetData>
  <mergeCells count="20">
    <mergeCell ref="B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</mergeCells>
  <printOptions/>
  <pageMargins left="0.5902777777777778" right="0.5902777777777778" top="0.9854166666666666" bottom="0.8555555555555556" header="0.5902777777777778" footer="0.5902777777777778"/>
  <pageSetup horizontalDpi="300" verticalDpi="300" orientation="landscape" paperSize="9" scale="78"/>
  <headerFooter alignWithMargins="0">
    <oddHeader>&amp;R&amp;"Times New Roman,Normalny"&amp;12Załącznik Nr 22 do projektu uchwały Nr   Rady Miejskiej w Barlinku z dnia ........grudnia 2010</oddHeader>
    <oddFooter>&amp;C&amp;"Times New Roman,Normalny"&amp;12Strona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S9"/>
  <sheetViews>
    <sheetView showGridLines="0" defaultGridColor="0" view="pageBreakPreview" zoomScaleSheetLayoutView="100" colorId="15" workbookViewId="0" topLeftCell="A1">
      <selection activeCell="K4" sqref="K4"/>
    </sheetView>
  </sheetViews>
  <sheetFormatPr defaultColWidth="12.00390625" defaultRowHeight="12.75"/>
  <cols>
    <col min="1" max="1" width="6.75390625" style="436" customWidth="1"/>
    <col min="2" max="2" width="9.25390625" style="437" customWidth="1"/>
    <col min="3" max="3" width="8.75390625" style="437" customWidth="1"/>
    <col min="4" max="4" width="51.75390625" style="438" customWidth="1"/>
    <col min="5" max="5" width="12.75390625" style="438" customWidth="1"/>
    <col min="6" max="251" width="11.625" style="439" customWidth="1"/>
    <col min="252" max="16384" width="11.625" style="440" customWidth="1"/>
  </cols>
  <sheetData>
    <row r="1" spans="1:5" ht="35.25" customHeight="1">
      <c r="A1" s="307" t="s">
        <v>480</v>
      </c>
      <c r="B1" s="307"/>
      <c r="C1" s="307"/>
      <c r="D1" s="307"/>
      <c r="E1" s="307"/>
    </row>
    <row r="2" spans="1:5" ht="15" customHeight="1">
      <c r="A2" s="441"/>
      <c r="B2" s="441"/>
      <c r="C2" s="441"/>
      <c r="D2" s="441"/>
      <c r="E2" s="441"/>
    </row>
    <row r="3" spans="1:6" ht="12" customHeight="1">
      <c r="A3" s="442"/>
      <c r="B3" s="442"/>
      <c r="C3" s="442"/>
      <c r="D3" s="442"/>
      <c r="E3" s="443"/>
      <c r="F3" s="444"/>
    </row>
    <row r="4" spans="1:253" s="154" customFormat="1" ht="39.75" customHeight="1">
      <c r="A4" s="445" t="s">
        <v>66</v>
      </c>
      <c r="B4" s="42" t="s">
        <v>86</v>
      </c>
      <c r="C4" s="42" t="s">
        <v>87</v>
      </c>
      <c r="D4" s="446" t="s">
        <v>481</v>
      </c>
      <c r="E4" s="446" t="s">
        <v>89</v>
      </c>
      <c r="IR4" s="447"/>
      <c r="IS4" s="447"/>
    </row>
    <row r="5" spans="1:6" ht="15">
      <c r="A5" s="448" t="s">
        <v>82</v>
      </c>
      <c r="B5" s="449"/>
      <c r="C5" s="449"/>
      <c r="D5" s="112" t="s">
        <v>482</v>
      </c>
      <c r="E5" s="450">
        <f>E6</f>
        <v>1200000</v>
      </c>
      <c r="F5" s="451"/>
    </row>
    <row r="6" spans="1:6" ht="15">
      <c r="A6" s="452"/>
      <c r="B6" s="453">
        <v>92109</v>
      </c>
      <c r="C6" s="454"/>
      <c r="D6" s="455" t="s">
        <v>221</v>
      </c>
      <c r="E6" s="456">
        <f>E7</f>
        <v>1200000</v>
      </c>
      <c r="F6" s="451"/>
    </row>
    <row r="7" spans="1:5" ht="39.75" customHeight="1">
      <c r="A7" s="452"/>
      <c r="B7" s="454"/>
      <c r="C7" s="457">
        <v>2480</v>
      </c>
      <c r="D7" s="458" t="s">
        <v>401</v>
      </c>
      <c r="E7" s="320">
        <f>E8</f>
        <v>1200000</v>
      </c>
    </row>
    <row r="8" spans="1:5" ht="15">
      <c r="A8" s="452"/>
      <c r="B8" s="454"/>
      <c r="C8" s="457"/>
      <c r="D8" s="458" t="s">
        <v>483</v>
      </c>
      <c r="E8" s="320">
        <v>1200000</v>
      </c>
    </row>
    <row r="9" spans="1:253" s="460" customFormat="1" ht="16.5" customHeight="1">
      <c r="A9" s="322" t="s">
        <v>84</v>
      </c>
      <c r="B9" s="322"/>
      <c r="C9" s="322"/>
      <c r="D9" s="322"/>
      <c r="E9" s="459">
        <f>E5</f>
        <v>1200000</v>
      </c>
      <c r="IR9" s="461"/>
      <c r="IS9" s="461"/>
    </row>
  </sheetData>
  <mergeCells count="3">
    <mergeCell ref="A1:E1"/>
    <mergeCell ref="A2:E2"/>
    <mergeCell ref="A9:D9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portrait" paperSize="9"/>
  <headerFooter alignWithMargins="0">
    <oddHeader>&amp;R&amp;"Times New Roman,Normalny"&amp;12Załącznik Nr  23 do projektu uchwały Nr   Rady Miejskiej w Barlinku z dnia ........grudnia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2"/>
  <sheetViews>
    <sheetView showGridLines="0" defaultGridColor="0" view="pageBreakPreview" zoomScaleSheetLayoutView="100" colorId="15" workbookViewId="0" topLeftCell="A1">
      <selection activeCell="M7" sqref="M7"/>
    </sheetView>
  </sheetViews>
  <sheetFormatPr defaultColWidth="12.00390625" defaultRowHeight="12.75"/>
  <cols>
    <col min="1" max="1" width="6.75390625" style="436" customWidth="1"/>
    <col min="2" max="2" width="9.25390625" style="437" customWidth="1"/>
    <col min="3" max="3" width="8.75390625" style="437" customWidth="1"/>
    <col min="4" max="4" width="45.75390625" style="438" customWidth="1"/>
    <col min="5" max="5" width="18.625" style="438" customWidth="1"/>
    <col min="6" max="251" width="11.625" style="439" customWidth="1"/>
    <col min="252" max="16384" width="11.625" style="440" customWidth="1"/>
  </cols>
  <sheetData>
    <row r="1" spans="1:5" ht="29.25" customHeight="1">
      <c r="A1" s="462" t="s">
        <v>484</v>
      </c>
      <c r="B1" s="462"/>
      <c r="C1" s="462"/>
      <c r="D1" s="462"/>
      <c r="E1" s="462"/>
    </row>
    <row r="2" spans="1:5" ht="15" customHeight="1">
      <c r="A2" s="441"/>
      <c r="B2" s="441"/>
      <c r="C2" s="441"/>
      <c r="D2" s="441"/>
      <c r="E2" s="441"/>
    </row>
    <row r="3" spans="1:253" s="154" customFormat="1" ht="39.75" customHeight="1">
      <c r="A3" s="445" t="s">
        <v>66</v>
      </c>
      <c r="B3" s="42" t="s">
        <v>86</v>
      </c>
      <c r="C3" s="42" t="s">
        <v>87</v>
      </c>
      <c r="D3" s="446" t="s">
        <v>481</v>
      </c>
      <c r="E3" s="446" t="s">
        <v>252</v>
      </c>
      <c r="IR3" s="447"/>
      <c r="IS3" s="447"/>
    </row>
    <row r="4" spans="1:253" s="465" customFormat="1" ht="18" customHeight="1">
      <c r="A4" s="463" t="s">
        <v>79</v>
      </c>
      <c r="B4" s="50"/>
      <c r="C4" s="50"/>
      <c r="D4" s="464" t="s">
        <v>485</v>
      </c>
      <c r="E4" s="59">
        <f>E5</f>
        <v>1657776</v>
      </c>
      <c r="IR4" s="305"/>
      <c r="IS4" s="305"/>
    </row>
    <row r="5" spans="1:253" s="465" customFormat="1" ht="18.75" customHeight="1">
      <c r="A5" s="466"/>
      <c r="B5" s="467">
        <v>80104</v>
      </c>
      <c r="C5" s="467"/>
      <c r="D5" s="468" t="s">
        <v>186</v>
      </c>
      <c r="E5" s="469">
        <f>SUM(E6)</f>
        <v>1657776</v>
      </c>
      <c r="IR5" s="305"/>
      <c r="IS5" s="305"/>
    </row>
    <row r="6" spans="1:253" s="465" customFormat="1" ht="32.25" customHeight="1">
      <c r="A6" s="466"/>
      <c r="B6" s="470"/>
      <c r="C6" s="470">
        <v>2540</v>
      </c>
      <c r="D6" s="471" t="s">
        <v>486</v>
      </c>
      <c r="E6" s="472">
        <f>SUM(E7:E11)</f>
        <v>1657776</v>
      </c>
      <c r="IR6" s="305"/>
      <c r="IS6" s="305"/>
    </row>
    <row r="7" spans="1:253" s="465" customFormat="1" ht="18.75" customHeight="1">
      <c r="A7" s="466"/>
      <c r="B7" s="470"/>
      <c r="C7" s="470"/>
      <c r="D7" s="471" t="s">
        <v>487</v>
      </c>
      <c r="E7" s="472">
        <f>12*15*(0.4*736)</f>
        <v>52992.00000000001</v>
      </c>
      <c r="IR7" s="305"/>
      <c r="IS7" s="305"/>
    </row>
    <row r="8" spans="1:253" s="465" customFormat="1" ht="18.75" customHeight="1">
      <c r="A8" s="466"/>
      <c r="B8" s="470"/>
      <c r="C8" s="470" t="s">
        <v>488</v>
      </c>
      <c r="D8" s="471" t="s">
        <v>489</v>
      </c>
      <c r="E8" s="472">
        <f>12*15*(0.4*736)</f>
        <v>52992.00000000001</v>
      </c>
      <c r="IR8" s="305"/>
      <c r="IS8" s="305"/>
    </row>
    <row r="9" spans="1:253" s="465" customFormat="1" ht="18.75" customHeight="1">
      <c r="A9" s="466"/>
      <c r="B9" s="470"/>
      <c r="C9" s="470"/>
      <c r="D9" s="471" t="s">
        <v>490</v>
      </c>
      <c r="E9" s="472">
        <f>4100*17*12</f>
        <v>836400</v>
      </c>
      <c r="IR9" s="305"/>
      <c r="IS9" s="305"/>
    </row>
    <row r="10" spans="1:253" s="465" customFormat="1" ht="18.75" customHeight="1">
      <c r="A10" s="466"/>
      <c r="B10" s="467"/>
      <c r="C10" s="470"/>
      <c r="D10" s="471" t="s">
        <v>491</v>
      </c>
      <c r="E10" s="472">
        <f>12*60*(0.75*736)</f>
        <v>397440</v>
      </c>
      <c r="IR10" s="305"/>
      <c r="IS10" s="305"/>
    </row>
    <row r="11" spans="1:253" s="465" customFormat="1" ht="18.75" customHeight="1">
      <c r="A11" s="466"/>
      <c r="B11" s="467"/>
      <c r="C11" s="470"/>
      <c r="D11" s="64" t="s">
        <v>492</v>
      </c>
      <c r="E11" s="472">
        <f>12*48*(0.75*736)</f>
        <v>317952</v>
      </c>
      <c r="IR11" s="305"/>
      <c r="IS11" s="305"/>
    </row>
    <row r="12" spans="1:5" s="305" customFormat="1" ht="15">
      <c r="A12" s="304"/>
      <c r="B12" s="306"/>
      <c r="C12" s="306"/>
      <c r="D12" s="473"/>
      <c r="E12" s="473"/>
    </row>
  </sheetData>
  <mergeCells count="2">
    <mergeCell ref="A1:E1"/>
    <mergeCell ref="A2:E2"/>
  </mergeCells>
  <printOptions horizontalCentered="1"/>
  <pageMargins left="0.5902777777777778" right="0.5902777777777778" top="0.9534722222222223" bottom="0.7555555555555555" header="0.5902777777777778" footer="0.5902777777777778"/>
  <pageSetup horizontalDpi="300" verticalDpi="300" orientation="portrait" paperSize="9"/>
  <headerFooter alignWithMargins="0">
    <oddHeader>&amp;R&amp;"Times New Roman,Normalny"&amp;12Załącznik Nr 24 do projektu Uchwały Nr …. Rady Miejskiej w Barlinku z dnia ........grudnia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5"/>
  <sheetViews>
    <sheetView showGridLines="0" defaultGridColor="0" view="pageBreakPreview" zoomScaleSheetLayoutView="100" colorId="15" workbookViewId="0" topLeftCell="A1">
      <selection activeCell="J10" sqref="J10"/>
    </sheetView>
  </sheetViews>
  <sheetFormatPr defaultColWidth="12.00390625" defaultRowHeight="12.75"/>
  <cols>
    <col min="1" max="1" width="6.75390625" style="436" customWidth="1"/>
    <col min="2" max="2" width="9.25390625" style="437" customWidth="1"/>
    <col min="3" max="3" width="8.75390625" style="437" customWidth="1"/>
    <col min="4" max="4" width="52.125" style="438" customWidth="1"/>
    <col min="5" max="5" width="12.75390625" style="438" customWidth="1"/>
    <col min="6" max="251" width="11.625" style="439" customWidth="1"/>
    <col min="252" max="16384" width="11.625" style="440" customWidth="1"/>
  </cols>
  <sheetData>
    <row r="1" spans="1:7" ht="50.25" customHeight="1">
      <c r="A1" s="474" t="s">
        <v>493</v>
      </c>
      <c r="B1" s="474"/>
      <c r="C1" s="474"/>
      <c r="D1" s="474"/>
      <c r="E1" s="474"/>
      <c r="F1" s="440"/>
      <c r="G1" s="440"/>
    </row>
    <row r="2" spans="1:253" s="154" customFormat="1" ht="39.75" customHeight="1">
      <c r="A2" s="445" t="s">
        <v>66</v>
      </c>
      <c r="B2" s="42" t="s">
        <v>86</v>
      </c>
      <c r="C2" s="42" t="s">
        <v>87</v>
      </c>
      <c r="D2" s="475" t="s">
        <v>494</v>
      </c>
      <c r="E2" s="446" t="s">
        <v>252</v>
      </c>
      <c r="IR2" s="447"/>
      <c r="IS2" s="447"/>
    </row>
    <row r="3" spans="1:253" s="154" customFormat="1" ht="18.75" customHeight="1">
      <c r="A3" s="273">
        <v>600</v>
      </c>
      <c r="B3" s="273"/>
      <c r="C3" s="273"/>
      <c r="D3" s="274" t="s">
        <v>101</v>
      </c>
      <c r="E3" s="476">
        <f>E4</f>
        <v>1666200</v>
      </c>
      <c r="IR3" s="447"/>
      <c r="IS3" s="447"/>
    </row>
    <row r="4" spans="1:253" s="154" customFormat="1" ht="18.75" customHeight="1">
      <c r="A4" s="68"/>
      <c r="B4" s="68">
        <v>60013</v>
      </c>
      <c r="C4" s="68"/>
      <c r="D4" s="69" t="s">
        <v>271</v>
      </c>
      <c r="E4" s="263">
        <f>E5</f>
        <v>1666200</v>
      </c>
      <c r="IR4" s="447"/>
      <c r="IS4" s="447"/>
    </row>
    <row r="5" spans="1:253" s="154" customFormat="1" ht="61.5" customHeight="1">
      <c r="A5" s="277"/>
      <c r="B5" s="300"/>
      <c r="C5" s="300">
        <v>6630</v>
      </c>
      <c r="D5" s="301" t="s">
        <v>272</v>
      </c>
      <c r="E5" s="319">
        <f>'zał 11'!E16</f>
        <v>1666200</v>
      </c>
      <c r="IR5" s="447"/>
      <c r="IS5" s="447"/>
    </row>
    <row r="6" spans="1:253" s="154" customFormat="1" ht="18.75" customHeight="1">
      <c r="A6" s="273">
        <v>803</v>
      </c>
      <c r="B6" s="273"/>
      <c r="C6" s="273"/>
      <c r="D6" s="274" t="s">
        <v>366</v>
      </c>
      <c r="E6" s="476">
        <f>E7</f>
        <v>10000</v>
      </c>
      <c r="IR6" s="447"/>
      <c r="IS6" s="447"/>
    </row>
    <row r="7" spans="1:253" s="154" customFormat="1" ht="18.75" customHeight="1">
      <c r="A7" s="295"/>
      <c r="B7" s="296">
        <v>80395</v>
      </c>
      <c r="C7" s="297"/>
      <c r="D7" s="298" t="s">
        <v>95</v>
      </c>
      <c r="E7" s="477">
        <f>E8</f>
        <v>10000</v>
      </c>
      <c r="IR7" s="447"/>
      <c r="IS7" s="447"/>
    </row>
    <row r="8" spans="1:253" s="154" customFormat="1" ht="61.5" customHeight="1">
      <c r="A8" s="299"/>
      <c r="B8" s="299"/>
      <c r="C8" s="300">
        <v>6630</v>
      </c>
      <c r="D8" s="301" t="s">
        <v>272</v>
      </c>
      <c r="E8" s="320">
        <f>'zał 11'!E35</f>
        <v>10000</v>
      </c>
      <c r="IR8" s="447"/>
      <c r="IS8" s="447"/>
    </row>
    <row r="9" spans="1:5" ht="18.75" customHeight="1">
      <c r="A9" s="273">
        <v>851</v>
      </c>
      <c r="B9" s="273"/>
      <c r="C9" s="273"/>
      <c r="D9" s="274" t="s">
        <v>367</v>
      </c>
      <c r="E9" s="476">
        <f>E10</f>
        <v>6000</v>
      </c>
    </row>
    <row r="10" spans="1:5" ht="18.75" customHeight="1">
      <c r="A10" s="295"/>
      <c r="B10" s="295">
        <v>85154</v>
      </c>
      <c r="C10" s="295"/>
      <c r="D10" s="478" t="s">
        <v>371</v>
      </c>
      <c r="E10" s="477">
        <f>E11</f>
        <v>6000</v>
      </c>
    </row>
    <row r="11" spans="1:5" ht="32.25" customHeight="1">
      <c r="A11" s="299"/>
      <c r="B11" s="299"/>
      <c r="C11" s="299">
        <v>2310</v>
      </c>
      <c r="D11" s="479" t="s">
        <v>372</v>
      </c>
      <c r="E11" s="320">
        <v>6000</v>
      </c>
    </row>
    <row r="12" spans="1:5" ht="18.75" customHeight="1">
      <c r="A12" s="448" t="s">
        <v>83</v>
      </c>
      <c r="B12" s="274"/>
      <c r="C12" s="274"/>
      <c r="D12" s="112" t="s">
        <v>223</v>
      </c>
      <c r="E12" s="450">
        <f>E13</f>
        <v>2800</v>
      </c>
    </row>
    <row r="13" spans="1:5" ht="18.75" customHeight="1">
      <c r="A13" s="85"/>
      <c r="B13" s="296">
        <v>92695</v>
      </c>
      <c r="C13" s="297"/>
      <c r="D13" s="298" t="s">
        <v>95</v>
      </c>
      <c r="E13" s="298">
        <f>E14</f>
        <v>2800</v>
      </c>
    </row>
    <row r="14" spans="1:5" ht="47.25" customHeight="1">
      <c r="A14" s="85"/>
      <c r="B14" s="296"/>
      <c r="C14" s="297">
        <v>2320</v>
      </c>
      <c r="D14" s="480" t="s">
        <v>495</v>
      </c>
      <c r="E14" s="481">
        <v>2800</v>
      </c>
    </row>
    <row r="15" spans="1:253" s="460" customFormat="1" ht="18.75" customHeight="1">
      <c r="A15" s="322" t="s">
        <v>84</v>
      </c>
      <c r="B15" s="322"/>
      <c r="C15" s="322"/>
      <c r="D15" s="322"/>
      <c r="E15" s="459">
        <f>E9+E12+E3+E6</f>
        <v>1685000</v>
      </c>
      <c r="IR15" s="461"/>
      <c r="IS15" s="461"/>
    </row>
  </sheetData>
  <mergeCells count="2">
    <mergeCell ref="A1:E1"/>
    <mergeCell ref="A15:D15"/>
  </mergeCells>
  <printOptions/>
  <pageMargins left="0.5902777777777778" right="0.5902777777777778" top="0.9534722222222223" bottom="0.7569444444444444" header="0.5902777777777778" footer="0.5902777777777778"/>
  <pageSetup horizontalDpi="300" verticalDpi="300" orientation="portrait" paperSize="9"/>
  <headerFooter alignWithMargins="0">
    <oddHeader>&amp;R&amp;"Times New Roman,Normalny"&amp;12Załącznik Nr 25 do projektu Uchwały Nr …. Rady Miejskiej w Barlinku z dnia ........grudnia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S24"/>
  <sheetViews>
    <sheetView showGridLines="0" tabSelected="1" defaultGridColor="0" view="pageBreakPreview" zoomScaleSheetLayoutView="100" colorId="15" workbookViewId="0" topLeftCell="A13">
      <selection activeCell="J15" sqref="J15"/>
    </sheetView>
  </sheetViews>
  <sheetFormatPr defaultColWidth="12.00390625" defaultRowHeight="12.75"/>
  <cols>
    <col min="1" max="1" width="6.75390625" style="304" customWidth="1"/>
    <col min="2" max="2" width="9.25390625" style="306" customWidth="1"/>
    <col min="3" max="3" width="8.75390625" style="306" customWidth="1"/>
    <col min="4" max="4" width="52.375" style="473" customWidth="1"/>
    <col min="5" max="5" width="12.75390625" style="473" customWidth="1"/>
    <col min="6" max="16384" width="11.625" style="305" customWidth="1"/>
  </cols>
  <sheetData>
    <row r="1" spans="1:5" ht="63" customHeight="1">
      <c r="A1" s="474" t="s">
        <v>496</v>
      </c>
      <c r="B1" s="474"/>
      <c r="C1" s="474"/>
      <c r="D1" s="474"/>
      <c r="E1" s="474"/>
    </row>
    <row r="2" spans="1:253" s="154" customFormat="1" ht="16.5" customHeight="1">
      <c r="A2" s="482" t="s">
        <v>66</v>
      </c>
      <c r="B2" s="309" t="s">
        <v>86</v>
      </c>
      <c r="C2" s="309" t="s">
        <v>87</v>
      </c>
      <c r="D2" s="483" t="s">
        <v>481</v>
      </c>
      <c r="E2" s="484" t="s">
        <v>252</v>
      </c>
      <c r="IR2" s="151"/>
      <c r="IS2" s="151"/>
    </row>
    <row r="3" spans="1:253" s="465" customFormat="1" ht="18" customHeight="1">
      <c r="A3" s="448" t="s">
        <v>79</v>
      </c>
      <c r="B3" s="274"/>
      <c r="C3" s="274"/>
      <c r="D3" s="485" t="s">
        <v>485</v>
      </c>
      <c r="E3" s="476">
        <f>E4</f>
        <v>3000</v>
      </c>
      <c r="IR3" s="305"/>
      <c r="IS3" s="305"/>
    </row>
    <row r="4" spans="1:253" s="465" customFormat="1" ht="18.75" customHeight="1">
      <c r="A4" s="452"/>
      <c r="B4" s="486">
        <v>80195</v>
      </c>
      <c r="C4" s="487"/>
      <c r="D4" s="488" t="s">
        <v>95</v>
      </c>
      <c r="E4" s="489">
        <f>E5</f>
        <v>3000</v>
      </c>
      <c r="IR4" s="305"/>
      <c r="IS4" s="305"/>
    </row>
    <row r="5" spans="1:253" s="465" customFormat="1" ht="47.25" customHeight="1">
      <c r="A5" s="452"/>
      <c r="B5" s="486"/>
      <c r="C5" s="487">
        <v>2820</v>
      </c>
      <c r="D5" s="481" t="s">
        <v>497</v>
      </c>
      <c r="E5" s="490">
        <v>3000</v>
      </c>
      <c r="IR5" s="305"/>
      <c r="IS5" s="305"/>
    </row>
    <row r="6" spans="1:5" ht="18.75" customHeight="1">
      <c r="A6" s="448" t="s">
        <v>248</v>
      </c>
      <c r="B6" s="274"/>
      <c r="C6" s="274"/>
      <c r="D6" s="112" t="s">
        <v>498</v>
      </c>
      <c r="E6" s="450">
        <f>E7+E9</f>
        <v>140000</v>
      </c>
    </row>
    <row r="7" spans="1:5" ht="18.75" customHeight="1">
      <c r="A7" s="316"/>
      <c r="B7" s="296">
        <v>85153</v>
      </c>
      <c r="C7" s="296"/>
      <c r="D7" s="298" t="s">
        <v>499</v>
      </c>
      <c r="E7" s="298">
        <f>SUM(E8:E8)</f>
        <v>45000</v>
      </c>
    </row>
    <row r="8" spans="1:5" ht="47.25" customHeight="1">
      <c r="A8" s="85"/>
      <c r="B8" s="296"/>
      <c r="C8" s="297">
        <v>2820</v>
      </c>
      <c r="D8" s="481" t="s">
        <v>500</v>
      </c>
      <c r="E8" s="491">
        <v>45000</v>
      </c>
    </row>
    <row r="9" spans="1:5" ht="18.75" customHeight="1">
      <c r="A9" s="85"/>
      <c r="B9" s="296">
        <v>85154</v>
      </c>
      <c r="C9" s="297"/>
      <c r="D9" s="492" t="s">
        <v>371</v>
      </c>
      <c r="E9" s="298">
        <f>SUM(E10:E11)</f>
        <v>95000</v>
      </c>
    </row>
    <row r="10" spans="1:5" ht="47.25" customHeight="1">
      <c r="A10" s="85"/>
      <c r="B10" s="296"/>
      <c r="C10" s="297">
        <v>2820</v>
      </c>
      <c r="D10" s="481" t="s">
        <v>500</v>
      </c>
      <c r="E10" s="491">
        <v>85000</v>
      </c>
    </row>
    <row r="11" spans="1:5" ht="54.75" customHeight="1">
      <c r="A11" s="85"/>
      <c r="B11" s="296"/>
      <c r="C11" s="297">
        <v>2830</v>
      </c>
      <c r="D11" s="493" t="s">
        <v>373</v>
      </c>
      <c r="E11" s="491">
        <v>10000</v>
      </c>
    </row>
    <row r="12" spans="1:5" ht="18.75" customHeight="1">
      <c r="A12" s="50">
        <v>852</v>
      </c>
      <c r="B12" s="50"/>
      <c r="C12" s="50"/>
      <c r="D12" s="50" t="s">
        <v>234</v>
      </c>
      <c r="E12" s="494">
        <f>E29+E32+E40+E61+E73+E13+E27+E38</f>
        <v>10000</v>
      </c>
    </row>
    <row r="13" spans="1:6" ht="18.75" customHeight="1">
      <c r="A13" s="60"/>
      <c r="B13" s="60">
        <v>85295</v>
      </c>
      <c r="C13" s="60"/>
      <c r="D13" s="61" t="s">
        <v>95</v>
      </c>
      <c r="E13" s="326">
        <f>E14</f>
        <v>10000</v>
      </c>
      <c r="F13" s="495"/>
    </row>
    <row r="14" spans="1:6" ht="47.25" customHeight="1">
      <c r="A14" s="60"/>
      <c r="B14" s="60"/>
      <c r="C14" s="63">
        <v>2820</v>
      </c>
      <c r="D14" s="64" t="s">
        <v>399</v>
      </c>
      <c r="E14" s="325">
        <v>10000</v>
      </c>
      <c r="F14" s="496"/>
    </row>
    <row r="15" spans="1:6" ht="18.75" customHeight="1">
      <c r="A15" s="448" t="s">
        <v>81</v>
      </c>
      <c r="B15" s="449"/>
      <c r="C15" s="449"/>
      <c r="D15" s="50" t="s">
        <v>392</v>
      </c>
      <c r="E15" s="450">
        <f>E16</f>
        <v>7000</v>
      </c>
      <c r="F15" s="496"/>
    </row>
    <row r="16" spans="1:6" ht="32.25" customHeight="1">
      <c r="A16" s="85"/>
      <c r="B16" s="60">
        <v>90019</v>
      </c>
      <c r="C16" s="60"/>
      <c r="D16" s="497" t="s">
        <v>214</v>
      </c>
      <c r="E16" s="298">
        <f>E17</f>
        <v>7000</v>
      </c>
      <c r="F16" s="496"/>
    </row>
    <row r="17" spans="1:6" ht="47.25" customHeight="1">
      <c r="A17" s="85"/>
      <c r="B17" s="297"/>
      <c r="C17" s="297">
        <v>2820</v>
      </c>
      <c r="D17" s="481" t="s">
        <v>497</v>
      </c>
      <c r="E17" s="481">
        <v>7000</v>
      </c>
      <c r="F17" s="496"/>
    </row>
    <row r="18" spans="1:6" ht="18.75" customHeight="1">
      <c r="A18" s="448" t="s">
        <v>82</v>
      </c>
      <c r="B18" s="449"/>
      <c r="C18" s="449"/>
      <c r="D18" s="112" t="s">
        <v>482</v>
      </c>
      <c r="E18" s="450">
        <f>E19</f>
        <v>20000</v>
      </c>
      <c r="F18" s="498"/>
    </row>
    <row r="19" spans="1:5" ht="18.75" customHeight="1">
      <c r="A19" s="85"/>
      <c r="B19" s="296">
        <v>92195</v>
      </c>
      <c r="C19" s="297"/>
      <c r="D19" s="298" t="s">
        <v>95</v>
      </c>
      <c r="E19" s="298">
        <f>E20</f>
        <v>20000</v>
      </c>
    </row>
    <row r="20" spans="1:5" ht="43.5">
      <c r="A20" s="85"/>
      <c r="B20" s="297"/>
      <c r="C20" s="297">
        <v>2820</v>
      </c>
      <c r="D20" s="481" t="s">
        <v>497</v>
      </c>
      <c r="E20" s="481">
        <v>20000</v>
      </c>
    </row>
    <row r="21" spans="1:5" ht="18.75" customHeight="1">
      <c r="A21" s="448" t="s">
        <v>83</v>
      </c>
      <c r="B21" s="274"/>
      <c r="C21" s="274"/>
      <c r="D21" s="112" t="s">
        <v>223</v>
      </c>
      <c r="E21" s="450">
        <f>E22</f>
        <v>60000</v>
      </c>
    </row>
    <row r="22" spans="1:5" ht="18.75" customHeight="1">
      <c r="A22" s="85"/>
      <c r="B22" s="296">
        <v>92605</v>
      </c>
      <c r="C22" s="297"/>
      <c r="D22" s="298" t="s">
        <v>225</v>
      </c>
      <c r="E22" s="298">
        <f>E23</f>
        <v>60000</v>
      </c>
    </row>
    <row r="23" spans="1:5" ht="47.25" customHeight="1">
      <c r="A23" s="85"/>
      <c r="B23" s="296"/>
      <c r="C23" s="297">
        <v>2820</v>
      </c>
      <c r="D23" s="481" t="s">
        <v>500</v>
      </c>
      <c r="E23" s="481">
        <v>60000</v>
      </c>
    </row>
    <row r="24" spans="1:253" s="499" customFormat="1" ht="18" customHeight="1">
      <c r="A24" s="322" t="s">
        <v>84</v>
      </c>
      <c r="B24" s="322"/>
      <c r="C24" s="322"/>
      <c r="D24" s="322"/>
      <c r="E24" s="459">
        <f>E21+E18+E6+E3+E12+E15</f>
        <v>240000</v>
      </c>
      <c r="IR24" s="305"/>
      <c r="IS24" s="305"/>
    </row>
  </sheetData>
  <mergeCells count="2">
    <mergeCell ref="A1:E1"/>
    <mergeCell ref="A24:D24"/>
  </mergeCells>
  <printOptions/>
  <pageMargins left="0.7875" right="0.7875" top="1.1506944444444445" bottom="0.9541666666666666" header="0.7875" footer="0.7875"/>
  <pageSetup horizontalDpi="300" verticalDpi="300" orientation="portrait" paperSize="9" scale="94"/>
  <headerFooter alignWithMargins="0">
    <oddHeader>&amp;R&amp;"Times New Roman,Normalny"&amp;12Załącznik Nr 26 do projektu uchwały Nr   Rady Miejskiej w Barlinku z dnia ........grudnia 2010</oddHeader>
    <oddFooter>&amp;C&amp;"Times New Roman,Normalny"&amp;12Strona &amp;P z &amp;N</oddFooter>
  </headerFooter>
  <colBreaks count="1" manualBreakCount="1">
    <brk id="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view="pageBreakPreview" zoomScaleSheetLayoutView="100" colorId="15" workbookViewId="0" topLeftCell="A1">
      <selection activeCell="D5" sqref="D5"/>
    </sheetView>
  </sheetViews>
  <sheetFormatPr defaultColWidth="9.00390625" defaultRowHeight="12.75" customHeight="1"/>
  <cols>
    <col min="1" max="1" width="4.75390625" style="500" customWidth="1"/>
    <col min="2" max="2" width="44.50390625" style="500" customWidth="1"/>
    <col min="3" max="3" width="19.125" style="500" customWidth="1"/>
    <col min="4" max="4" width="17.125" style="500" customWidth="1"/>
    <col min="5" max="16384" width="9.125" style="500" customWidth="1"/>
  </cols>
  <sheetData>
    <row r="1" spans="1:7" ht="57" customHeight="1">
      <c r="A1" s="501" t="s">
        <v>501</v>
      </c>
      <c r="B1" s="501"/>
      <c r="C1" s="501"/>
      <c r="D1" s="501"/>
      <c r="G1" s="502"/>
    </row>
    <row r="2" spans="1:4" ht="64.5" customHeight="1">
      <c r="A2" s="503" t="s">
        <v>502</v>
      </c>
      <c r="B2" s="503" t="s">
        <v>503</v>
      </c>
      <c r="C2" s="504" t="s">
        <v>504</v>
      </c>
      <c r="D2" s="504" t="s">
        <v>505</v>
      </c>
    </row>
    <row r="3" spans="1:4" ht="10.5" customHeight="1">
      <c r="A3" s="505">
        <v>1</v>
      </c>
      <c r="B3" s="505">
        <v>2</v>
      </c>
      <c r="C3" s="505">
        <v>3</v>
      </c>
      <c r="D3" s="505">
        <v>4</v>
      </c>
    </row>
    <row r="4" spans="1:4" ht="18" customHeight="1">
      <c r="A4" s="506" t="s">
        <v>506</v>
      </c>
      <c r="B4" s="506"/>
      <c r="C4" s="507"/>
      <c r="D4" s="508">
        <f>SUM(D5:D13)</f>
        <v>8462630.4463</v>
      </c>
    </row>
    <row r="5" spans="1:4" ht="18" customHeight="1">
      <c r="A5" s="507" t="s">
        <v>507</v>
      </c>
      <c r="B5" s="509" t="s">
        <v>508</v>
      </c>
      <c r="C5" s="507" t="s">
        <v>509</v>
      </c>
      <c r="D5" s="510">
        <f>'zał 6'!C24-'zał 1'!C19-D6-D7-D8-D9-D10-D11-D12-D13+D14</f>
        <v>7764859.4463</v>
      </c>
    </row>
    <row r="6" spans="1:4" ht="18" customHeight="1">
      <c r="A6" s="507" t="s">
        <v>510</v>
      </c>
      <c r="B6" s="509" t="s">
        <v>511</v>
      </c>
      <c r="C6" s="507" t="s">
        <v>509</v>
      </c>
      <c r="D6" s="511"/>
    </row>
    <row r="7" spans="1:11" ht="32.25" customHeight="1">
      <c r="A7" s="507" t="s">
        <v>512</v>
      </c>
      <c r="B7" s="509" t="s">
        <v>513</v>
      </c>
      <c r="C7" s="507" t="s">
        <v>514</v>
      </c>
      <c r="D7" s="510">
        <v>500000</v>
      </c>
      <c r="K7" s="512"/>
    </row>
    <row r="8" spans="1:4" ht="18" customHeight="1">
      <c r="A8" s="507" t="s">
        <v>515</v>
      </c>
      <c r="B8" s="509" t="s">
        <v>516</v>
      </c>
      <c r="C8" s="507" t="s">
        <v>517</v>
      </c>
      <c r="D8" s="510">
        <v>3768</v>
      </c>
    </row>
    <row r="9" spans="1:4" ht="18.75" customHeight="1">
      <c r="A9" s="507" t="s">
        <v>518</v>
      </c>
      <c r="B9" s="509" t="s">
        <v>519</v>
      </c>
      <c r="C9" s="507" t="s">
        <v>520</v>
      </c>
      <c r="D9" s="510"/>
    </row>
    <row r="10" spans="1:4" ht="18" customHeight="1">
      <c r="A10" s="507" t="s">
        <v>521</v>
      </c>
      <c r="B10" s="509" t="s">
        <v>522</v>
      </c>
      <c r="C10" s="507" t="s">
        <v>523</v>
      </c>
      <c r="D10" s="510"/>
    </row>
    <row r="11" spans="1:4" ht="18" customHeight="1">
      <c r="A11" s="507" t="s">
        <v>524</v>
      </c>
      <c r="B11" s="509" t="s">
        <v>525</v>
      </c>
      <c r="C11" s="507" t="s">
        <v>526</v>
      </c>
      <c r="D11" s="510"/>
    </row>
    <row r="12" spans="1:4" ht="18" customHeight="1">
      <c r="A12" s="507" t="s">
        <v>527</v>
      </c>
      <c r="B12" s="513" t="s">
        <v>528</v>
      </c>
      <c r="C12" s="514" t="s">
        <v>529</v>
      </c>
      <c r="D12" s="510">
        <v>194003</v>
      </c>
    </row>
    <row r="13" spans="1:4" ht="18" customHeight="1">
      <c r="A13" s="507" t="s">
        <v>530</v>
      </c>
      <c r="B13" s="509" t="s">
        <v>531</v>
      </c>
      <c r="C13" s="507" t="s">
        <v>532</v>
      </c>
      <c r="D13" s="510"/>
    </row>
    <row r="14" spans="1:4" ht="18" customHeight="1">
      <c r="A14" s="506" t="s">
        <v>533</v>
      </c>
      <c r="B14" s="506"/>
      <c r="C14" s="507"/>
      <c r="D14" s="508">
        <f>D15+D18+D19+D20+D21+D22+D23</f>
        <v>1379449</v>
      </c>
    </row>
    <row r="15" spans="1:4" ht="18" customHeight="1">
      <c r="A15" s="507" t="s">
        <v>507</v>
      </c>
      <c r="B15" s="509" t="s">
        <v>534</v>
      </c>
      <c r="C15" s="507" t="s">
        <v>535</v>
      </c>
      <c r="D15" s="510">
        <f>D16+D17</f>
        <v>1379449</v>
      </c>
    </row>
    <row r="16" spans="1:4" ht="18.75" customHeight="1">
      <c r="A16" s="507"/>
      <c r="B16" s="280" t="s">
        <v>536</v>
      </c>
      <c r="C16" s="511"/>
      <c r="D16" s="515">
        <f>384000</f>
        <v>384000</v>
      </c>
    </row>
    <row r="17" spans="1:4" ht="18.75" customHeight="1">
      <c r="A17" s="507"/>
      <c r="B17" s="280" t="s">
        <v>537</v>
      </c>
      <c r="C17" s="511"/>
      <c r="D17" s="515">
        <f>93809+600000+301640</f>
        <v>995449</v>
      </c>
    </row>
    <row r="18" spans="1:4" ht="18" customHeight="1">
      <c r="A18" s="507" t="s">
        <v>510</v>
      </c>
      <c r="B18" s="509" t="s">
        <v>538</v>
      </c>
      <c r="C18" s="507" t="s">
        <v>535</v>
      </c>
      <c r="D18" s="510"/>
    </row>
    <row r="19" spans="1:4" ht="47.25" customHeight="1">
      <c r="A19" s="507" t="s">
        <v>512</v>
      </c>
      <c r="B19" s="509" t="s">
        <v>539</v>
      </c>
      <c r="C19" s="507" t="s">
        <v>540</v>
      </c>
      <c r="D19" s="510"/>
    </row>
    <row r="20" spans="1:4" ht="18" customHeight="1">
      <c r="A20" s="507" t="s">
        <v>515</v>
      </c>
      <c r="B20" s="509" t="s">
        <v>541</v>
      </c>
      <c r="C20" s="507" t="s">
        <v>542</v>
      </c>
      <c r="D20" s="510"/>
    </row>
    <row r="21" spans="1:4" ht="18" customHeight="1">
      <c r="A21" s="507" t="s">
        <v>518</v>
      </c>
      <c r="B21" s="509" t="s">
        <v>543</v>
      </c>
      <c r="C21" s="507" t="s">
        <v>544</v>
      </c>
      <c r="D21" s="510"/>
    </row>
    <row r="22" spans="1:4" ht="18" customHeight="1">
      <c r="A22" s="507" t="s">
        <v>521</v>
      </c>
      <c r="B22" s="509" t="s">
        <v>545</v>
      </c>
      <c r="C22" s="507" t="s">
        <v>546</v>
      </c>
      <c r="D22" s="510"/>
    </row>
    <row r="23" spans="1:4" ht="18" customHeight="1">
      <c r="A23" s="507" t="s">
        <v>524</v>
      </c>
      <c r="B23" s="509" t="s">
        <v>547</v>
      </c>
      <c r="C23" s="507" t="s">
        <v>548</v>
      </c>
      <c r="D23" s="510"/>
    </row>
    <row r="24" spans="1:4" ht="15" customHeight="1">
      <c r="A24" s="516"/>
      <c r="B24" s="517"/>
      <c r="C24" s="517"/>
      <c r="D24" s="517"/>
    </row>
    <row r="25" spans="1:4" ht="12.75" customHeight="1">
      <c r="A25" s="518"/>
      <c r="B25" s="519"/>
      <c r="C25" s="519"/>
      <c r="D25" s="519"/>
    </row>
  </sheetData>
  <mergeCells count="3">
    <mergeCell ref="A1:D1"/>
    <mergeCell ref="A4:B4"/>
    <mergeCell ref="A14:B14"/>
  </mergeCells>
  <printOptions/>
  <pageMargins left="0.7875" right="0.7875" top="1.1229166666666666" bottom="1.0527777777777778" header="0.7875" footer="0.7875"/>
  <pageSetup horizontalDpi="300" verticalDpi="300" orientation="portrait" paperSize="9"/>
  <headerFooter alignWithMargins="0">
    <oddHeader>&amp;R&amp;"Times New Roman,Normalny"Załącznik Nr 27 do projektu Uchwały Nr …. Rady Miejskiej w Barlinku z dnia ........grudnia 2010</oddHeader>
    <oddFooter>&amp;C&amp;"Times New Roman,Normalny"&amp;12Strona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9"/>
  <sheetViews>
    <sheetView showGridLines="0" defaultGridColor="0" view="pageBreakPreview" zoomScaleSheetLayoutView="100" colorId="15" workbookViewId="0" topLeftCell="A100">
      <selection activeCell="L4" sqref="L4"/>
    </sheetView>
  </sheetViews>
  <sheetFormatPr defaultColWidth="9.00390625" defaultRowHeight="12.75"/>
  <cols>
    <col min="1" max="1" width="6.125" style="520" customWidth="1"/>
    <col min="2" max="2" width="8.625" style="520" customWidth="1"/>
    <col min="3" max="3" width="0" style="520" hidden="1" customWidth="1"/>
    <col min="4" max="4" width="45.875" style="520" customWidth="1"/>
    <col min="5" max="5" width="10.00390625" style="520" customWidth="1"/>
    <col min="6" max="6" width="10.875" style="500" customWidth="1"/>
    <col min="7" max="7" width="10.25390625" style="500" customWidth="1"/>
    <col min="8" max="16384" width="8.75390625" style="520" customWidth="1"/>
  </cols>
  <sheetData>
    <row r="1" spans="1:7" ht="42.75" customHeight="1">
      <c r="A1" s="501" t="s">
        <v>549</v>
      </c>
      <c r="B1" s="501"/>
      <c r="C1" s="501"/>
      <c r="D1" s="501"/>
      <c r="E1" s="501"/>
      <c r="F1" s="501"/>
      <c r="G1" s="501"/>
    </row>
    <row r="2" spans="1:7" ht="15.75" customHeight="1">
      <c r="A2" s="504" t="s">
        <v>66</v>
      </c>
      <c r="B2" s="504" t="s">
        <v>86</v>
      </c>
      <c r="C2" s="504" t="s">
        <v>87</v>
      </c>
      <c r="D2" s="504" t="s">
        <v>550</v>
      </c>
      <c r="E2" s="504" t="s">
        <v>551</v>
      </c>
      <c r="F2" s="504" t="s">
        <v>90</v>
      </c>
      <c r="G2" s="504"/>
    </row>
    <row r="3" spans="1:7" s="521" customFormat="1" ht="52.5" customHeight="1">
      <c r="A3" s="504"/>
      <c r="B3" s="504"/>
      <c r="C3" s="504"/>
      <c r="D3" s="504"/>
      <c r="E3" s="504"/>
      <c r="F3" s="504" t="s">
        <v>552</v>
      </c>
      <c r="G3" s="504" t="s">
        <v>553</v>
      </c>
    </row>
    <row r="4" spans="1:7" s="524" customFormat="1" ht="12.75">
      <c r="A4" s="522">
        <v>1</v>
      </c>
      <c r="B4" s="522">
        <v>2</v>
      </c>
      <c r="C4" s="523">
        <v>3</v>
      </c>
      <c r="D4" s="523">
        <v>3</v>
      </c>
      <c r="E4" s="523">
        <v>4</v>
      </c>
      <c r="F4" s="523">
        <v>5</v>
      </c>
      <c r="G4" s="523">
        <v>6</v>
      </c>
    </row>
    <row r="5" spans="1:7" s="528" customFormat="1" ht="19.5" customHeight="1">
      <c r="A5" s="525" t="s">
        <v>554</v>
      </c>
      <c r="B5" s="525"/>
      <c r="C5" s="525"/>
      <c r="D5" s="525"/>
      <c r="E5" s="526">
        <f>E6+E8+E10</f>
        <v>10214</v>
      </c>
      <c r="F5" s="526">
        <f>F6+F8+F10</f>
        <v>10214</v>
      </c>
      <c r="G5" s="527">
        <f>G6+G8+G10</f>
        <v>0</v>
      </c>
    </row>
    <row r="6" spans="1:7" ht="15">
      <c r="A6" s="529">
        <v>900</v>
      </c>
      <c r="B6" s="529"/>
      <c r="C6" s="529"/>
      <c r="D6" s="530" t="s">
        <v>392</v>
      </c>
      <c r="E6" s="531">
        <f>E7</f>
        <v>7714</v>
      </c>
      <c r="F6" s="531">
        <f>F7</f>
        <v>7714</v>
      </c>
      <c r="G6" s="532">
        <f>G7</f>
        <v>0</v>
      </c>
    </row>
    <row r="7" spans="1:7" ht="18.75" customHeight="1">
      <c r="A7" s="533"/>
      <c r="B7" s="533">
        <v>90004</v>
      </c>
      <c r="C7" s="533">
        <v>4210</v>
      </c>
      <c r="D7" s="480" t="s">
        <v>395</v>
      </c>
      <c r="E7" s="534">
        <f>F7+G7</f>
        <v>7714</v>
      </c>
      <c r="F7" s="535">
        <f>3300+4414</f>
        <v>7714</v>
      </c>
      <c r="G7" s="536"/>
    </row>
    <row r="8" spans="1:7" ht="18.75" customHeight="1">
      <c r="A8" s="529">
        <v>921</v>
      </c>
      <c r="B8" s="529"/>
      <c r="C8" s="529"/>
      <c r="D8" s="530" t="s">
        <v>220</v>
      </c>
      <c r="E8" s="531">
        <f>E9</f>
        <v>2200</v>
      </c>
      <c r="F8" s="531">
        <f>F9</f>
        <v>2200</v>
      </c>
      <c r="G8" s="532">
        <f>G9</f>
        <v>0</v>
      </c>
    </row>
    <row r="9" spans="1:7" ht="18.75" customHeight="1">
      <c r="A9" s="533"/>
      <c r="B9" s="533">
        <v>92195</v>
      </c>
      <c r="C9" s="533">
        <v>4210</v>
      </c>
      <c r="D9" s="301" t="s">
        <v>95</v>
      </c>
      <c r="E9" s="534">
        <f>F9+G9</f>
        <v>2200</v>
      </c>
      <c r="F9" s="534">
        <f>600+600+500+500</f>
        <v>2200</v>
      </c>
      <c r="G9" s="534"/>
    </row>
    <row r="10" spans="1:7" ht="18.75" customHeight="1">
      <c r="A10" s="529">
        <v>926</v>
      </c>
      <c r="B10" s="529"/>
      <c r="C10" s="529"/>
      <c r="D10" s="537" t="s">
        <v>223</v>
      </c>
      <c r="E10" s="531">
        <f>F10+G10</f>
        <v>300</v>
      </c>
      <c r="F10" s="538">
        <f>SUM(F11)</f>
        <v>300</v>
      </c>
      <c r="G10" s="538">
        <f>SUM(G11)</f>
        <v>0</v>
      </c>
    </row>
    <row r="11" spans="1:7" ht="18.75" customHeight="1">
      <c r="A11" s="533"/>
      <c r="B11" s="533">
        <v>92695</v>
      </c>
      <c r="C11" s="533">
        <v>4210</v>
      </c>
      <c r="D11" s="301" t="s">
        <v>95</v>
      </c>
      <c r="E11" s="534">
        <f>F11+G11</f>
        <v>300</v>
      </c>
      <c r="F11" s="535">
        <v>300</v>
      </c>
      <c r="G11" s="534"/>
    </row>
    <row r="12" spans="1:7" s="521" customFormat="1" ht="19.5" customHeight="1">
      <c r="A12" s="525" t="s">
        <v>555</v>
      </c>
      <c r="B12" s="525"/>
      <c r="C12" s="525"/>
      <c r="D12" s="525"/>
      <c r="E12" s="526">
        <f>E13+E15+E18</f>
        <v>7334</v>
      </c>
      <c r="F12" s="526">
        <f>F13+F15+F18</f>
        <v>7334</v>
      </c>
      <c r="G12" s="527">
        <f>G13+G15</f>
        <v>0</v>
      </c>
    </row>
    <row r="13" spans="1:7" ht="15">
      <c r="A13" s="529">
        <v>900</v>
      </c>
      <c r="B13" s="529"/>
      <c r="C13" s="529"/>
      <c r="D13" s="530" t="s">
        <v>392</v>
      </c>
      <c r="E13" s="531">
        <f>E14</f>
        <v>1934</v>
      </c>
      <c r="F13" s="531">
        <f>F14</f>
        <v>1934</v>
      </c>
      <c r="G13" s="532">
        <f>G14</f>
        <v>0</v>
      </c>
    </row>
    <row r="14" spans="1:7" ht="18.75" customHeight="1">
      <c r="A14" s="533"/>
      <c r="B14" s="533">
        <v>90004</v>
      </c>
      <c r="C14" s="533">
        <v>4210</v>
      </c>
      <c r="D14" s="480" t="s">
        <v>395</v>
      </c>
      <c r="E14" s="534">
        <f>F14+G14</f>
        <v>1934</v>
      </c>
      <c r="F14" s="535">
        <v>1934</v>
      </c>
      <c r="G14" s="536"/>
    </row>
    <row r="15" spans="1:7" ht="18.75" customHeight="1">
      <c r="A15" s="529">
        <v>921</v>
      </c>
      <c r="B15" s="529"/>
      <c r="C15" s="529"/>
      <c r="D15" s="530" t="s">
        <v>220</v>
      </c>
      <c r="E15" s="531">
        <f>E17+E16</f>
        <v>4200</v>
      </c>
      <c r="F15" s="531">
        <f>F17+F16</f>
        <v>4200</v>
      </c>
      <c r="G15" s="532">
        <f>G17+G16</f>
        <v>0</v>
      </c>
    </row>
    <row r="16" spans="1:7" ht="18.75" customHeight="1">
      <c r="A16" s="529"/>
      <c r="B16" s="297">
        <v>92109</v>
      </c>
      <c r="C16" s="533">
        <v>4210</v>
      </c>
      <c r="D16" s="480" t="s">
        <v>221</v>
      </c>
      <c r="E16" s="534">
        <f>F16+G16</f>
        <v>1500</v>
      </c>
      <c r="F16" s="534">
        <v>1500</v>
      </c>
      <c r="G16" s="532"/>
    </row>
    <row r="17" spans="1:7" ht="18.75" customHeight="1">
      <c r="A17" s="533"/>
      <c r="B17" s="533">
        <v>92195</v>
      </c>
      <c r="C17" s="533">
        <v>4210</v>
      </c>
      <c r="D17" s="301" t="s">
        <v>95</v>
      </c>
      <c r="E17" s="534">
        <f>F17+G17</f>
        <v>2700</v>
      </c>
      <c r="F17" s="534">
        <f>300+150+700+350+1200</f>
        <v>2700</v>
      </c>
      <c r="G17" s="534"/>
    </row>
    <row r="18" spans="1:7" ht="18.75" customHeight="1">
      <c r="A18" s="529">
        <v>926</v>
      </c>
      <c r="B18" s="529"/>
      <c r="C18" s="529"/>
      <c r="D18" s="537" t="s">
        <v>223</v>
      </c>
      <c r="E18" s="531">
        <f>F18+G18</f>
        <v>1200</v>
      </c>
      <c r="F18" s="538">
        <f>SUM(F19)</f>
        <v>1200</v>
      </c>
      <c r="G18" s="538">
        <f>SUM(G19)</f>
        <v>0</v>
      </c>
    </row>
    <row r="19" spans="1:7" ht="18.75" customHeight="1">
      <c r="A19" s="533"/>
      <c r="B19" s="533">
        <v>92695</v>
      </c>
      <c r="C19" s="533"/>
      <c r="D19" s="301" t="s">
        <v>95</v>
      </c>
      <c r="E19" s="534">
        <f>F19+G19</f>
        <v>1200</v>
      </c>
      <c r="F19" s="535">
        <v>1200</v>
      </c>
      <c r="G19" s="534"/>
    </row>
    <row r="20" spans="1:7" s="521" customFormat="1" ht="19.5" customHeight="1">
      <c r="A20" s="525" t="s">
        <v>556</v>
      </c>
      <c r="B20" s="525"/>
      <c r="C20" s="525"/>
      <c r="D20" s="525"/>
      <c r="E20" s="526">
        <f>E21</f>
        <v>5801</v>
      </c>
      <c r="F20" s="526">
        <f>F21</f>
        <v>5801</v>
      </c>
      <c r="G20" s="527">
        <f>G21</f>
        <v>0</v>
      </c>
    </row>
    <row r="21" spans="1:7" ht="15">
      <c r="A21" s="529">
        <v>900</v>
      </c>
      <c r="B21" s="529"/>
      <c r="C21" s="529"/>
      <c r="D21" s="530" t="s">
        <v>392</v>
      </c>
      <c r="E21" s="531">
        <f>E22</f>
        <v>5801</v>
      </c>
      <c r="F21" s="531">
        <f>F22</f>
        <v>5801</v>
      </c>
      <c r="G21" s="532">
        <f>G22</f>
        <v>0</v>
      </c>
    </row>
    <row r="22" spans="1:7" ht="18.75" customHeight="1">
      <c r="A22" s="533"/>
      <c r="B22" s="297">
        <v>90015</v>
      </c>
      <c r="C22" s="297"/>
      <c r="D22" s="480" t="s">
        <v>397</v>
      </c>
      <c r="E22" s="534">
        <f>F22+G22</f>
        <v>5801</v>
      </c>
      <c r="F22" s="535">
        <v>5801</v>
      </c>
      <c r="G22" s="536"/>
    </row>
    <row r="23" spans="1:7" s="521" customFormat="1" ht="19.5" customHeight="1">
      <c r="A23" s="525" t="s">
        <v>557</v>
      </c>
      <c r="B23" s="525"/>
      <c r="C23" s="525"/>
      <c r="D23" s="525"/>
      <c r="E23" s="526">
        <f>E26+E24</f>
        <v>5428</v>
      </c>
      <c r="F23" s="526">
        <f>F26+F24</f>
        <v>5428</v>
      </c>
      <c r="G23" s="527">
        <f>G26</f>
        <v>0</v>
      </c>
    </row>
    <row r="24" spans="1:7" s="521" customFormat="1" ht="15">
      <c r="A24" s="529">
        <v>900</v>
      </c>
      <c r="B24" s="529"/>
      <c r="C24" s="529"/>
      <c r="D24" s="530" t="s">
        <v>392</v>
      </c>
      <c r="E24" s="531">
        <f>E25</f>
        <v>1300</v>
      </c>
      <c r="F24" s="531">
        <f>F25</f>
        <v>1300</v>
      </c>
      <c r="G24" s="532">
        <f>G25</f>
        <v>0</v>
      </c>
    </row>
    <row r="25" spans="1:7" s="521" customFormat="1" ht="18.75" customHeight="1">
      <c r="A25" s="533"/>
      <c r="B25" s="533">
        <v>90004</v>
      </c>
      <c r="C25" s="533"/>
      <c r="D25" s="480" t="s">
        <v>395</v>
      </c>
      <c r="E25" s="534">
        <f>F25+G25</f>
        <v>1300</v>
      </c>
      <c r="F25" s="535">
        <f>1000+300</f>
        <v>1300</v>
      </c>
      <c r="G25" s="536"/>
    </row>
    <row r="26" spans="1:7" ht="18.75" customHeight="1">
      <c r="A26" s="529">
        <v>921</v>
      </c>
      <c r="B26" s="529"/>
      <c r="C26" s="529"/>
      <c r="D26" s="530" t="s">
        <v>220</v>
      </c>
      <c r="E26" s="531">
        <f>E28+E27</f>
        <v>4128</v>
      </c>
      <c r="F26" s="531">
        <f>F28+F27</f>
        <v>4128</v>
      </c>
      <c r="G26" s="532">
        <f>G28+G27</f>
        <v>0</v>
      </c>
    </row>
    <row r="27" spans="1:7" ht="18.75" customHeight="1">
      <c r="A27" s="529"/>
      <c r="B27" s="297">
        <v>92109</v>
      </c>
      <c r="C27" s="297"/>
      <c r="D27" s="480" t="s">
        <v>221</v>
      </c>
      <c r="E27" s="534">
        <f>F27+G27</f>
        <v>3228</v>
      </c>
      <c r="F27" s="534">
        <f>1000+1928+300</f>
        <v>3228</v>
      </c>
      <c r="G27" s="532"/>
    </row>
    <row r="28" spans="1:7" ht="18.75" customHeight="1">
      <c r="A28" s="533"/>
      <c r="B28" s="533">
        <v>92195</v>
      </c>
      <c r="C28" s="533"/>
      <c r="D28" s="301" t="s">
        <v>95</v>
      </c>
      <c r="E28" s="534">
        <f>F28+G28</f>
        <v>900</v>
      </c>
      <c r="F28" s="534">
        <f>500+400</f>
        <v>900</v>
      </c>
      <c r="G28" s="534"/>
    </row>
    <row r="29" spans="1:7" s="521" customFormat="1" ht="19.5" customHeight="1">
      <c r="A29" s="525" t="s">
        <v>558</v>
      </c>
      <c r="B29" s="525"/>
      <c r="C29" s="525"/>
      <c r="D29" s="525"/>
      <c r="E29" s="526">
        <f>E30</f>
        <v>9509</v>
      </c>
      <c r="F29" s="526">
        <f>F30</f>
        <v>9509</v>
      </c>
      <c r="G29" s="527">
        <f>G30</f>
        <v>0</v>
      </c>
    </row>
    <row r="30" spans="1:7" ht="18.75" customHeight="1">
      <c r="A30" s="529">
        <v>921</v>
      </c>
      <c r="B30" s="529"/>
      <c r="C30" s="529"/>
      <c r="D30" s="530" t="s">
        <v>220</v>
      </c>
      <c r="E30" s="531">
        <f>E32+E31</f>
        <v>9509</v>
      </c>
      <c r="F30" s="531">
        <f>F32+F31</f>
        <v>9509</v>
      </c>
      <c r="G30" s="532">
        <f>G32+G31</f>
        <v>0</v>
      </c>
    </row>
    <row r="31" spans="1:7" ht="18.75" customHeight="1">
      <c r="A31" s="529"/>
      <c r="B31" s="297">
        <v>92109</v>
      </c>
      <c r="C31" s="297"/>
      <c r="D31" s="480" t="s">
        <v>221</v>
      </c>
      <c r="E31" s="534">
        <f>F31+G31</f>
        <v>1600</v>
      </c>
      <c r="F31" s="534">
        <v>1600</v>
      </c>
      <c r="G31" s="539"/>
    </row>
    <row r="32" spans="1:7" ht="18.75" customHeight="1">
      <c r="A32" s="533"/>
      <c r="B32" s="533">
        <v>92195</v>
      </c>
      <c r="C32" s="533"/>
      <c r="D32" s="301" t="s">
        <v>95</v>
      </c>
      <c r="E32" s="534">
        <f>F32+G32</f>
        <v>7909</v>
      </c>
      <c r="F32" s="534">
        <f>509+500+500+2700+500+1300+1900</f>
        <v>7909</v>
      </c>
      <c r="G32" s="534"/>
    </row>
    <row r="33" spans="1:7" s="521" customFormat="1" ht="19.5" customHeight="1">
      <c r="A33" s="525" t="s">
        <v>559</v>
      </c>
      <c r="B33" s="525"/>
      <c r="C33" s="525"/>
      <c r="D33" s="525"/>
      <c r="E33" s="526">
        <f>E34</f>
        <v>11001</v>
      </c>
      <c r="F33" s="526">
        <f>F34</f>
        <v>11001</v>
      </c>
      <c r="G33" s="526">
        <f>G34</f>
        <v>0</v>
      </c>
    </row>
    <row r="34" spans="1:7" ht="18.75" customHeight="1">
      <c r="A34" s="529">
        <v>921</v>
      </c>
      <c r="B34" s="529"/>
      <c r="C34" s="529"/>
      <c r="D34" s="530" t="s">
        <v>220</v>
      </c>
      <c r="E34" s="531">
        <f>E36+E35</f>
        <v>11001</v>
      </c>
      <c r="F34" s="531">
        <f>F36+F35</f>
        <v>11001</v>
      </c>
      <c r="G34" s="532">
        <f>G36</f>
        <v>0</v>
      </c>
    </row>
    <row r="35" spans="1:7" ht="18.75" customHeight="1">
      <c r="A35" s="529"/>
      <c r="B35" s="297">
        <v>92109</v>
      </c>
      <c r="C35" s="297"/>
      <c r="D35" s="480" t="s">
        <v>221</v>
      </c>
      <c r="E35" s="534">
        <f>F35+G35</f>
        <v>8801</v>
      </c>
      <c r="F35" s="534">
        <f>2100+6102+599</f>
        <v>8801</v>
      </c>
      <c r="G35" s="532"/>
    </row>
    <row r="36" spans="1:7" ht="18.75" customHeight="1">
      <c r="A36" s="533"/>
      <c r="B36" s="533">
        <v>92195</v>
      </c>
      <c r="C36" s="533"/>
      <c r="D36" s="301" t="s">
        <v>95</v>
      </c>
      <c r="E36" s="534">
        <f>F36+G36</f>
        <v>2200</v>
      </c>
      <c r="F36" s="534">
        <f>200+200+300+500+200+100+100+600</f>
        <v>2200</v>
      </c>
      <c r="G36" s="534"/>
    </row>
    <row r="37" spans="1:7" s="521" customFormat="1" ht="19.5" customHeight="1">
      <c r="A37" s="525" t="s">
        <v>560</v>
      </c>
      <c r="B37" s="525"/>
      <c r="C37" s="525"/>
      <c r="D37" s="525"/>
      <c r="E37" s="526">
        <f>E38+E40+E42</f>
        <v>8432</v>
      </c>
      <c r="F37" s="526">
        <f>F38+F40+F42</f>
        <v>8432</v>
      </c>
      <c r="G37" s="527">
        <f>G38+G40+G42</f>
        <v>0</v>
      </c>
    </row>
    <row r="38" spans="1:7" ht="15">
      <c r="A38" s="529">
        <v>900</v>
      </c>
      <c r="B38" s="529"/>
      <c r="C38" s="529"/>
      <c r="D38" s="530" t="s">
        <v>392</v>
      </c>
      <c r="E38" s="531">
        <f>E39</f>
        <v>2400</v>
      </c>
      <c r="F38" s="531">
        <f>F39</f>
        <v>2400</v>
      </c>
      <c r="G38" s="532">
        <f>G39</f>
        <v>0</v>
      </c>
    </row>
    <row r="39" spans="1:7" ht="18.75" customHeight="1">
      <c r="A39" s="533"/>
      <c r="B39" s="533">
        <v>90004</v>
      </c>
      <c r="C39" s="533"/>
      <c r="D39" s="480" t="s">
        <v>395</v>
      </c>
      <c r="E39" s="534">
        <f>F39+G39</f>
        <v>2400</v>
      </c>
      <c r="F39" s="535">
        <v>2400</v>
      </c>
      <c r="G39" s="536"/>
    </row>
    <row r="40" spans="1:7" ht="18.75" customHeight="1">
      <c r="A40" s="529">
        <v>921</v>
      </c>
      <c r="B40" s="529"/>
      <c r="C40" s="529"/>
      <c r="D40" s="530" t="s">
        <v>220</v>
      </c>
      <c r="E40" s="531">
        <f>E41</f>
        <v>1300</v>
      </c>
      <c r="F40" s="531">
        <f>F41</f>
        <v>1300</v>
      </c>
      <c r="G40" s="532">
        <f>G41</f>
        <v>0</v>
      </c>
    </row>
    <row r="41" spans="1:7" ht="18.75" customHeight="1">
      <c r="A41" s="533"/>
      <c r="B41" s="533">
        <v>92195</v>
      </c>
      <c r="C41" s="533"/>
      <c r="D41" s="301" t="s">
        <v>95</v>
      </c>
      <c r="E41" s="534">
        <f>F41+G41</f>
        <v>1300</v>
      </c>
      <c r="F41" s="534">
        <f>1000+300</f>
        <v>1300</v>
      </c>
      <c r="G41" s="534"/>
    </row>
    <row r="42" spans="1:7" ht="18.75" customHeight="1">
      <c r="A42" s="529">
        <v>926</v>
      </c>
      <c r="B42" s="529"/>
      <c r="C42" s="529"/>
      <c r="D42" s="537" t="s">
        <v>223</v>
      </c>
      <c r="E42" s="531">
        <f>F42+G42</f>
        <v>4732</v>
      </c>
      <c r="F42" s="538">
        <f>SUM(F43)</f>
        <v>4732</v>
      </c>
      <c r="G42" s="538">
        <f>SUM(G43)</f>
        <v>0</v>
      </c>
    </row>
    <row r="43" spans="1:7" ht="18.75" customHeight="1">
      <c r="A43" s="533"/>
      <c r="B43" s="533">
        <v>92695</v>
      </c>
      <c r="C43" s="533"/>
      <c r="D43" s="301" t="s">
        <v>95</v>
      </c>
      <c r="E43" s="534">
        <f>F43+G43</f>
        <v>4732</v>
      </c>
      <c r="F43" s="535">
        <f>1932+2800</f>
        <v>4732</v>
      </c>
      <c r="G43" s="534"/>
    </row>
    <row r="44" spans="1:7" s="521" customFormat="1" ht="19.5" customHeight="1">
      <c r="A44" s="525" t="s">
        <v>561</v>
      </c>
      <c r="B44" s="525"/>
      <c r="C44" s="525"/>
      <c r="D44" s="525"/>
      <c r="E44" s="526">
        <f>E45+E47+E50</f>
        <v>20718</v>
      </c>
      <c r="F44" s="526">
        <f>F45+F47+F50</f>
        <v>20718</v>
      </c>
      <c r="G44" s="527">
        <f>G45+G47+G50</f>
        <v>0</v>
      </c>
    </row>
    <row r="45" spans="1:7" ht="15">
      <c r="A45" s="529">
        <v>900</v>
      </c>
      <c r="B45" s="529"/>
      <c r="C45" s="529"/>
      <c r="D45" s="530" t="s">
        <v>392</v>
      </c>
      <c r="E45" s="531">
        <f>E46</f>
        <v>818</v>
      </c>
      <c r="F45" s="531">
        <f>F46</f>
        <v>818</v>
      </c>
      <c r="G45" s="532">
        <f>G46</f>
        <v>0</v>
      </c>
    </row>
    <row r="46" spans="1:7" ht="18.75" customHeight="1">
      <c r="A46" s="533"/>
      <c r="B46" s="533">
        <v>90004</v>
      </c>
      <c r="C46" s="533"/>
      <c r="D46" s="480" t="s">
        <v>395</v>
      </c>
      <c r="E46" s="534">
        <f>F46+G46</f>
        <v>818</v>
      </c>
      <c r="F46" s="535">
        <f>418+400</f>
        <v>818</v>
      </c>
      <c r="G46" s="536"/>
    </row>
    <row r="47" spans="1:7" ht="18.75" customHeight="1">
      <c r="A47" s="529">
        <v>921</v>
      </c>
      <c r="B47" s="529"/>
      <c r="C47" s="529"/>
      <c r="D47" s="530" t="s">
        <v>220</v>
      </c>
      <c r="E47" s="531">
        <f>E49+E48</f>
        <v>15100</v>
      </c>
      <c r="F47" s="531">
        <f>F49+F48</f>
        <v>15100</v>
      </c>
      <c r="G47" s="532">
        <f>G49+G48</f>
        <v>0</v>
      </c>
    </row>
    <row r="48" spans="1:7" ht="18.75" customHeight="1">
      <c r="A48" s="529"/>
      <c r="B48" s="297">
        <v>92109</v>
      </c>
      <c r="C48" s="297"/>
      <c r="D48" s="480" t="s">
        <v>221</v>
      </c>
      <c r="E48" s="534">
        <f>F48+G48</f>
        <v>12900</v>
      </c>
      <c r="F48" s="534">
        <f>3000+1400+8280+220</f>
        <v>12900</v>
      </c>
      <c r="G48" s="539"/>
    </row>
    <row r="49" spans="1:7" ht="18.75" customHeight="1">
      <c r="A49" s="533"/>
      <c r="B49" s="533">
        <v>92195</v>
      </c>
      <c r="C49" s="533"/>
      <c r="D49" s="301" t="s">
        <v>95</v>
      </c>
      <c r="E49" s="534">
        <f>F49+G49</f>
        <v>2200</v>
      </c>
      <c r="F49" s="534">
        <f>1500+700</f>
        <v>2200</v>
      </c>
      <c r="G49" s="534"/>
    </row>
    <row r="50" spans="1:7" ht="18.75" customHeight="1">
      <c r="A50" s="529">
        <v>926</v>
      </c>
      <c r="B50" s="529"/>
      <c r="C50" s="529"/>
      <c r="D50" s="537" t="s">
        <v>223</v>
      </c>
      <c r="E50" s="531">
        <f>F50+G50</f>
        <v>4800</v>
      </c>
      <c r="F50" s="538">
        <f>SUM(F51)</f>
        <v>4800</v>
      </c>
      <c r="G50" s="538">
        <f>SUM(G51)</f>
        <v>0</v>
      </c>
    </row>
    <row r="51" spans="1:7" ht="18.75" customHeight="1">
      <c r="A51" s="533"/>
      <c r="B51" s="533">
        <v>92695</v>
      </c>
      <c r="C51" s="533"/>
      <c r="D51" s="301" t="s">
        <v>95</v>
      </c>
      <c r="E51" s="534">
        <f>F51+G51</f>
        <v>4800</v>
      </c>
      <c r="F51" s="535">
        <f>4000+800</f>
        <v>4800</v>
      </c>
      <c r="G51" s="534"/>
    </row>
    <row r="52" spans="1:7" s="521" customFormat="1" ht="19.5" customHeight="1">
      <c r="A52" s="525" t="s">
        <v>562</v>
      </c>
      <c r="B52" s="525"/>
      <c r="C52" s="525"/>
      <c r="D52" s="525"/>
      <c r="E52" s="526">
        <f>E55+E53</f>
        <v>6775</v>
      </c>
      <c r="F52" s="526">
        <f>F55+F53</f>
        <v>6775</v>
      </c>
      <c r="G52" s="527">
        <f>G55+G53</f>
        <v>0</v>
      </c>
    </row>
    <row r="53" spans="1:7" ht="18.75" customHeight="1">
      <c r="A53" s="529">
        <v>921</v>
      </c>
      <c r="B53" s="529"/>
      <c r="C53" s="529"/>
      <c r="D53" s="530" t="s">
        <v>220</v>
      </c>
      <c r="E53" s="531">
        <f>E54</f>
        <v>3300</v>
      </c>
      <c r="F53" s="531">
        <f>F54</f>
        <v>3300</v>
      </c>
      <c r="G53" s="532">
        <f>G54</f>
        <v>0</v>
      </c>
    </row>
    <row r="54" spans="1:7" ht="18.75" customHeight="1">
      <c r="A54" s="533"/>
      <c r="B54" s="533">
        <v>92195</v>
      </c>
      <c r="C54" s="533"/>
      <c r="D54" s="301" t="s">
        <v>95</v>
      </c>
      <c r="E54" s="534">
        <f>F54+G54</f>
        <v>3300</v>
      </c>
      <c r="F54" s="534">
        <f>2600+700</f>
        <v>3300</v>
      </c>
      <c r="G54" s="534"/>
    </row>
    <row r="55" spans="1:7" ht="18.75" customHeight="1">
      <c r="A55" s="529">
        <v>926</v>
      </c>
      <c r="B55" s="529"/>
      <c r="C55" s="529"/>
      <c r="D55" s="537" t="s">
        <v>223</v>
      </c>
      <c r="E55" s="531">
        <f>F55+G55</f>
        <v>3475</v>
      </c>
      <c r="F55" s="538">
        <f>SUM(F56)</f>
        <v>3475</v>
      </c>
      <c r="G55" s="538">
        <f>SUM(G56)</f>
        <v>0</v>
      </c>
    </row>
    <row r="56" spans="1:7" ht="18.75" customHeight="1">
      <c r="A56" s="533"/>
      <c r="B56" s="533">
        <v>92695</v>
      </c>
      <c r="C56" s="533"/>
      <c r="D56" s="301" t="s">
        <v>95</v>
      </c>
      <c r="E56" s="534">
        <f>F56+G56</f>
        <v>3475</v>
      </c>
      <c r="F56" s="535">
        <v>3475</v>
      </c>
      <c r="G56" s="534"/>
    </row>
    <row r="57" spans="1:7" s="521" customFormat="1" ht="19.5" customHeight="1">
      <c r="A57" s="525" t="s">
        <v>563</v>
      </c>
      <c r="B57" s="525"/>
      <c r="C57" s="525"/>
      <c r="D57" s="525"/>
      <c r="E57" s="526">
        <f>E62+E60+E58</f>
        <v>20718</v>
      </c>
      <c r="F57" s="526">
        <f>F62+F60+F58</f>
        <v>20718</v>
      </c>
      <c r="G57" s="527">
        <f>G62+G60+G58</f>
        <v>0</v>
      </c>
    </row>
    <row r="58" spans="1:7" ht="15">
      <c r="A58" s="529">
        <v>900</v>
      </c>
      <c r="B58" s="529"/>
      <c r="C58" s="540"/>
      <c r="D58" s="530" t="s">
        <v>392</v>
      </c>
      <c r="E58" s="538">
        <f>E59</f>
        <v>10000</v>
      </c>
      <c r="F58" s="538">
        <f>F59</f>
        <v>10000</v>
      </c>
      <c r="G58" s="538">
        <f>G59</f>
        <v>0</v>
      </c>
    </row>
    <row r="59" spans="1:7" ht="18.75" customHeight="1">
      <c r="A59" s="529"/>
      <c r="B59" s="533">
        <v>90004</v>
      </c>
      <c r="C59" s="533"/>
      <c r="D59" s="480" t="s">
        <v>395</v>
      </c>
      <c r="E59" s="534">
        <f>F59+G59</f>
        <v>10000</v>
      </c>
      <c r="F59" s="541">
        <v>10000</v>
      </c>
      <c r="G59" s="535"/>
    </row>
    <row r="60" spans="1:7" ht="18.75" customHeight="1">
      <c r="A60" s="529">
        <v>921</v>
      </c>
      <c r="B60" s="529"/>
      <c r="C60" s="529"/>
      <c r="D60" s="530" t="s">
        <v>220</v>
      </c>
      <c r="E60" s="531">
        <f>E61</f>
        <v>6700</v>
      </c>
      <c r="F60" s="531">
        <f>F61</f>
        <v>6700</v>
      </c>
      <c r="G60" s="532">
        <f>G61</f>
        <v>0</v>
      </c>
    </row>
    <row r="61" spans="1:7" ht="18.75" customHeight="1">
      <c r="A61" s="533"/>
      <c r="B61" s="533">
        <v>92195</v>
      </c>
      <c r="C61" s="533"/>
      <c r="D61" s="301" t="s">
        <v>95</v>
      </c>
      <c r="E61" s="534">
        <f>F61+G61</f>
        <v>6700</v>
      </c>
      <c r="F61" s="534">
        <f>900+500+800+500+1000+500+1500+1000</f>
        <v>6700</v>
      </c>
      <c r="G61" s="534"/>
    </row>
    <row r="62" spans="1:7" ht="18.75" customHeight="1">
      <c r="A62" s="529">
        <v>926</v>
      </c>
      <c r="B62" s="529"/>
      <c r="C62" s="529"/>
      <c r="D62" s="537" t="s">
        <v>223</v>
      </c>
      <c r="E62" s="531">
        <f>F62+G62</f>
        <v>4018</v>
      </c>
      <c r="F62" s="538">
        <f>SUM(F63)</f>
        <v>4018</v>
      </c>
      <c r="G62" s="538">
        <f>SUM(G63)</f>
        <v>0</v>
      </c>
    </row>
    <row r="63" spans="1:7" ht="18.75" customHeight="1">
      <c r="A63" s="533"/>
      <c r="B63" s="533">
        <v>92695</v>
      </c>
      <c r="C63" s="533"/>
      <c r="D63" s="301" t="s">
        <v>95</v>
      </c>
      <c r="E63" s="534">
        <f>F63+G63</f>
        <v>4018</v>
      </c>
      <c r="F63" s="535">
        <v>4018</v>
      </c>
      <c r="G63" s="534"/>
    </row>
    <row r="64" spans="1:7" ht="19.5" customHeight="1">
      <c r="A64" s="525" t="s">
        <v>564</v>
      </c>
      <c r="B64" s="525"/>
      <c r="C64" s="525"/>
      <c r="D64" s="525"/>
      <c r="E64" s="542">
        <f>E65</f>
        <v>5490</v>
      </c>
      <c r="F64" s="542">
        <f>F65</f>
        <v>5490</v>
      </c>
      <c r="G64" s="539">
        <f>G65</f>
        <v>0</v>
      </c>
    </row>
    <row r="65" spans="1:7" ht="18.75" customHeight="1">
      <c r="A65" s="529">
        <v>710</v>
      </c>
      <c r="B65" s="529"/>
      <c r="C65" s="540"/>
      <c r="D65" s="530" t="s">
        <v>280</v>
      </c>
      <c r="E65" s="538">
        <f>E66</f>
        <v>5490</v>
      </c>
      <c r="F65" s="538">
        <f>F66</f>
        <v>5490</v>
      </c>
      <c r="G65" s="538">
        <f>G66</f>
        <v>0</v>
      </c>
    </row>
    <row r="66" spans="1:7" ht="18.75" customHeight="1">
      <c r="A66" s="529"/>
      <c r="B66" s="533">
        <v>71035</v>
      </c>
      <c r="C66" s="533"/>
      <c r="D66" s="480" t="s">
        <v>120</v>
      </c>
      <c r="E66" s="534">
        <f>F66+G66</f>
        <v>5490</v>
      </c>
      <c r="F66" s="541">
        <v>5490</v>
      </c>
      <c r="G66" s="535"/>
    </row>
    <row r="67" spans="1:7" s="521" customFormat="1" ht="19.5" customHeight="1">
      <c r="A67" s="525" t="s">
        <v>565</v>
      </c>
      <c r="B67" s="525"/>
      <c r="C67" s="525"/>
      <c r="D67" s="525"/>
      <c r="E67" s="526">
        <f>E68</f>
        <v>8370</v>
      </c>
      <c r="F67" s="526">
        <f>F68</f>
        <v>8370</v>
      </c>
      <c r="G67" s="527">
        <f>G68</f>
        <v>0</v>
      </c>
    </row>
    <row r="68" spans="1:7" ht="18.75" customHeight="1">
      <c r="A68" s="529">
        <v>921</v>
      </c>
      <c r="B68" s="529"/>
      <c r="C68" s="529"/>
      <c r="D68" s="530" t="s">
        <v>220</v>
      </c>
      <c r="E68" s="531">
        <f>E70+E69</f>
        <v>8370</v>
      </c>
      <c r="F68" s="531">
        <f>F70+F69</f>
        <v>8370</v>
      </c>
      <c r="G68" s="532">
        <f>G70+G69</f>
        <v>0</v>
      </c>
    </row>
    <row r="69" spans="1:7" ht="18.75" customHeight="1">
      <c r="A69" s="529"/>
      <c r="B69" s="297">
        <v>92109</v>
      </c>
      <c r="C69" s="297"/>
      <c r="D69" s="480" t="s">
        <v>221</v>
      </c>
      <c r="E69" s="534">
        <f>F69+G69</f>
        <v>6970</v>
      </c>
      <c r="F69" s="534">
        <f>4690+400+1674+206</f>
        <v>6970</v>
      </c>
      <c r="G69" s="532"/>
    </row>
    <row r="70" spans="1:7" ht="18.75" customHeight="1">
      <c r="A70" s="533"/>
      <c r="B70" s="533">
        <v>92195</v>
      </c>
      <c r="C70" s="533"/>
      <c r="D70" s="301" t="s">
        <v>95</v>
      </c>
      <c r="E70" s="534">
        <f>F70+G70</f>
        <v>1400</v>
      </c>
      <c r="F70" s="534">
        <f>700+700</f>
        <v>1400</v>
      </c>
      <c r="G70" s="534"/>
    </row>
    <row r="71" spans="1:7" s="521" customFormat="1" ht="19.5" customHeight="1">
      <c r="A71" s="525" t="s">
        <v>566</v>
      </c>
      <c r="B71" s="525"/>
      <c r="C71" s="525"/>
      <c r="D71" s="525"/>
      <c r="E71" s="526">
        <f>E72+E74</f>
        <v>5884</v>
      </c>
      <c r="F71" s="526">
        <f>F72+F74</f>
        <v>5884</v>
      </c>
      <c r="G71" s="527">
        <f>G72+G74</f>
        <v>0</v>
      </c>
    </row>
    <row r="72" spans="1:7" ht="18.75" customHeight="1">
      <c r="A72" s="529">
        <v>600</v>
      </c>
      <c r="B72" s="529"/>
      <c r="C72" s="540"/>
      <c r="D72" s="543" t="s">
        <v>101</v>
      </c>
      <c r="E72" s="538">
        <f>E73</f>
        <v>5000</v>
      </c>
      <c r="F72" s="538">
        <f>F73</f>
        <v>5000</v>
      </c>
      <c r="G72" s="538">
        <f>G73</f>
        <v>0</v>
      </c>
    </row>
    <row r="73" spans="1:7" ht="18.75" customHeight="1">
      <c r="A73" s="529"/>
      <c r="B73" s="297">
        <v>60016</v>
      </c>
      <c r="C73" s="544"/>
      <c r="D73" s="545" t="s">
        <v>102</v>
      </c>
      <c r="E73" s="534">
        <f>F73+G73</f>
        <v>5000</v>
      </c>
      <c r="F73" s="541">
        <v>5000</v>
      </c>
      <c r="G73" s="535"/>
    </row>
    <row r="74" spans="1:7" ht="18.75" customHeight="1">
      <c r="A74" s="529">
        <v>921</v>
      </c>
      <c r="B74" s="529"/>
      <c r="C74" s="529"/>
      <c r="D74" s="530" t="s">
        <v>220</v>
      </c>
      <c r="E74" s="531">
        <f>E75</f>
        <v>884</v>
      </c>
      <c r="F74" s="531">
        <f>F75</f>
        <v>884</v>
      </c>
      <c r="G74" s="532">
        <f>G75</f>
        <v>0</v>
      </c>
    </row>
    <row r="75" spans="1:7" ht="18.75" customHeight="1">
      <c r="A75" s="533"/>
      <c r="B75" s="533">
        <v>92195</v>
      </c>
      <c r="C75" s="533"/>
      <c r="D75" s="301" t="s">
        <v>95</v>
      </c>
      <c r="E75" s="534">
        <f>F75+G75</f>
        <v>884</v>
      </c>
      <c r="F75" s="534">
        <f>384+500</f>
        <v>884</v>
      </c>
      <c r="G75" s="534"/>
    </row>
    <row r="76" spans="1:7" ht="19.5" customHeight="1">
      <c r="A76" s="525" t="s">
        <v>567</v>
      </c>
      <c r="B76" s="525"/>
      <c r="C76" s="525"/>
      <c r="D76" s="525"/>
      <c r="E76" s="526">
        <f>E77</f>
        <v>11374</v>
      </c>
      <c r="F76" s="526">
        <f>F77</f>
        <v>11374</v>
      </c>
      <c r="G76" s="527">
        <f>G77</f>
        <v>0</v>
      </c>
    </row>
    <row r="77" spans="1:7" ht="18.75" customHeight="1">
      <c r="A77" s="529">
        <v>921</v>
      </c>
      <c r="B77" s="529"/>
      <c r="C77" s="529"/>
      <c r="D77" s="530" t="s">
        <v>220</v>
      </c>
      <c r="E77" s="531">
        <f>E79+E78</f>
        <v>11374</v>
      </c>
      <c r="F77" s="531">
        <f>F79+F78</f>
        <v>11374</v>
      </c>
      <c r="G77" s="532">
        <f>G79</f>
        <v>0</v>
      </c>
    </row>
    <row r="78" spans="1:7" ht="18.75" customHeight="1">
      <c r="A78" s="529"/>
      <c r="B78" s="297">
        <v>92109</v>
      </c>
      <c r="C78" s="297"/>
      <c r="D78" s="480" t="s">
        <v>221</v>
      </c>
      <c r="E78" s="534">
        <f>F78+G78</f>
        <v>9874</v>
      </c>
      <c r="F78" s="534">
        <f>7474+2400</f>
        <v>9874</v>
      </c>
      <c r="G78" s="532"/>
    </row>
    <row r="79" spans="1:7" ht="18.75" customHeight="1">
      <c r="A79" s="533"/>
      <c r="B79" s="533">
        <v>92195</v>
      </c>
      <c r="C79" s="533"/>
      <c r="D79" s="301" t="s">
        <v>95</v>
      </c>
      <c r="E79" s="534">
        <f>F79+G79</f>
        <v>1500</v>
      </c>
      <c r="F79" s="534">
        <f>800+500+200</f>
        <v>1500</v>
      </c>
      <c r="G79" s="534"/>
    </row>
    <row r="80" spans="1:7" ht="19.5" customHeight="1">
      <c r="A80" s="525" t="s">
        <v>568</v>
      </c>
      <c r="B80" s="525"/>
      <c r="C80" s="525"/>
      <c r="D80" s="525"/>
      <c r="E80" s="526">
        <f>E85+E83+E81</f>
        <v>7997</v>
      </c>
      <c r="F80" s="526">
        <f>F85+F83+F81</f>
        <v>7997</v>
      </c>
      <c r="G80" s="527">
        <f>G85+G83+G81</f>
        <v>0</v>
      </c>
    </row>
    <row r="81" spans="1:7" ht="15">
      <c r="A81" s="529">
        <v>900</v>
      </c>
      <c r="B81" s="529"/>
      <c r="C81" s="540"/>
      <c r="D81" s="530" t="s">
        <v>392</v>
      </c>
      <c r="E81" s="538">
        <f>E82</f>
        <v>5397</v>
      </c>
      <c r="F81" s="538">
        <f>F82</f>
        <v>5397</v>
      </c>
      <c r="G81" s="538">
        <f>G82</f>
        <v>0</v>
      </c>
    </row>
    <row r="82" spans="1:7" ht="18.75" customHeight="1">
      <c r="A82" s="529"/>
      <c r="B82" s="533">
        <v>90004</v>
      </c>
      <c r="C82" s="533"/>
      <c r="D82" s="480" t="s">
        <v>395</v>
      </c>
      <c r="E82" s="534">
        <f>F82+G82</f>
        <v>5397</v>
      </c>
      <c r="F82" s="541">
        <f>1500+3897</f>
        <v>5397</v>
      </c>
      <c r="G82" s="535"/>
    </row>
    <row r="83" spans="1:7" ht="18.75" customHeight="1">
      <c r="A83" s="529">
        <v>921</v>
      </c>
      <c r="B83" s="529"/>
      <c r="C83" s="529"/>
      <c r="D83" s="530" t="s">
        <v>220</v>
      </c>
      <c r="E83" s="531">
        <f>E84</f>
        <v>1600</v>
      </c>
      <c r="F83" s="531">
        <f>F84</f>
        <v>1600</v>
      </c>
      <c r="G83" s="532">
        <f>G84</f>
        <v>0</v>
      </c>
    </row>
    <row r="84" spans="1:7" ht="18.75" customHeight="1">
      <c r="A84" s="533"/>
      <c r="B84" s="533">
        <v>92195</v>
      </c>
      <c r="C84" s="533"/>
      <c r="D84" s="301" t="s">
        <v>95</v>
      </c>
      <c r="E84" s="534">
        <f>F84+G84</f>
        <v>1600</v>
      </c>
      <c r="F84" s="534">
        <f>800+800</f>
        <v>1600</v>
      </c>
      <c r="G84" s="534"/>
    </row>
    <row r="85" spans="1:7" ht="18.75" customHeight="1">
      <c r="A85" s="529">
        <v>926</v>
      </c>
      <c r="B85" s="529"/>
      <c r="C85" s="529"/>
      <c r="D85" s="537" t="s">
        <v>223</v>
      </c>
      <c r="E85" s="531">
        <f>F85+G85</f>
        <v>1000</v>
      </c>
      <c r="F85" s="538">
        <f>SUM(F86)</f>
        <v>1000</v>
      </c>
      <c r="G85" s="538">
        <f>SUM(G86)</f>
        <v>0</v>
      </c>
    </row>
    <row r="86" spans="1:7" ht="18.75" customHeight="1">
      <c r="A86" s="533"/>
      <c r="B86" s="533">
        <v>92695</v>
      </c>
      <c r="C86" s="533"/>
      <c r="D86" s="301" t="s">
        <v>95</v>
      </c>
      <c r="E86" s="534">
        <f>F86+G86</f>
        <v>1000</v>
      </c>
      <c r="F86" s="535">
        <v>1000</v>
      </c>
      <c r="G86" s="534"/>
    </row>
    <row r="87" spans="1:7" ht="19.5" customHeight="1">
      <c r="A87" s="525" t="s">
        <v>569</v>
      </c>
      <c r="B87" s="525"/>
      <c r="C87" s="525"/>
      <c r="D87" s="525"/>
      <c r="E87" s="526">
        <f>E91+E88</f>
        <v>17817</v>
      </c>
      <c r="F87" s="526">
        <f>F91+F88</f>
        <v>17817</v>
      </c>
      <c r="G87" s="527">
        <f>G91+G88</f>
        <v>0</v>
      </c>
    </row>
    <row r="88" spans="1:7" ht="18.75" customHeight="1">
      <c r="A88" s="529">
        <v>921</v>
      </c>
      <c r="B88" s="529"/>
      <c r="C88" s="529"/>
      <c r="D88" s="530" t="s">
        <v>220</v>
      </c>
      <c r="E88" s="531">
        <f>E90+E89</f>
        <v>5862</v>
      </c>
      <c r="F88" s="531">
        <f>F90+F89</f>
        <v>5862</v>
      </c>
      <c r="G88" s="532">
        <f>G90+G89</f>
        <v>0</v>
      </c>
    </row>
    <row r="89" spans="1:7" ht="18.75" customHeight="1">
      <c r="A89" s="529"/>
      <c r="B89" s="297">
        <v>92109</v>
      </c>
      <c r="C89" s="297"/>
      <c r="D89" s="480" t="s">
        <v>221</v>
      </c>
      <c r="E89" s="534">
        <f>F89+G89</f>
        <v>3562</v>
      </c>
      <c r="F89" s="534">
        <v>3562</v>
      </c>
      <c r="G89" s="532"/>
    </row>
    <row r="90" spans="1:7" ht="18.75" customHeight="1">
      <c r="A90" s="533"/>
      <c r="B90" s="533">
        <v>92195</v>
      </c>
      <c r="C90" s="533"/>
      <c r="D90" s="301" t="s">
        <v>95</v>
      </c>
      <c r="E90" s="534">
        <f>F90+G90</f>
        <v>2300</v>
      </c>
      <c r="F90" s="534">
        <f>1000+1000+300</f>
        <v>2300</v>
      </c>
      <c r="G90" s="534"/>
    </row>
    <row r="91" spans="1:7" ht="18.75" customHeight="1">
      <c r="A91" s="529">
        <v>926</v>
      </c>
      <c r="B91" s="529"/>
      <c r="C91" s="529"/>
      <c r="D91" s="537" t="s">
        <v>223</v>
      </c>
      <c r="E91" s="531">
        <f>F91+G91</f>
        <v>11955</v>
      </c>
      <c r="F91" s="538">
        <f>SUM(F92)</f>
        <v>11955</v>
      </c>
      <c r="G91" s="538">
        <f>SUM(G92)</f>
        <v>0</v>
      </c>
    </row>
    <row r="92" spans="1:7" ht="18.75" customHeight="1">
      <c r="A92" s="533"/>
      <c r="B92" s="533">
        <v>92695</v>
      </c>
      <c r="C92" s="533"/>
      <c r="D92" s="301" t="s">
        <v>95</v>
      </c>
      <c r="E92" s="534">
        <f>F92+G92</f>
        <v>11955</v>
      </c>
      <c r="F92" s="535">
        <v>11955</v>
      </c>
      <c r="G92" s="534"/>
    </row>
    <row r="93" spans="1:7" ht="19.5" customHeight="1">
      <c r="A93" s="525" t="s">
        <v>570</v>
      </c>
      <c r="B93" s="525"/>
      <c r="C93" s="525"/>
      <c r="D93" s="525"/>
      <c r="E93" s="526">
        <f>E98+E96+E94</f>
        <v>8992</v>
      </c>
      <c r="F93" s="526">
        <f>F98+F96+F94</f>
        <v>8992</v>
      </c>
      <c r="G93" s="527">
        <f>G98+G96+G94</f>
        <v>0</v>
      </c>
    </row>
    <row r="94" spans="1:7" ht="18.75" customHeight="1">
      <c r="A94" s="529">
        <v>600</v>
      </c>
      <c r="B94" s="529"/>
      <c r="C94" s="540"/>
      <c r="D94" s="543" t="s">
        <v>101</v>
      </c>
      <c r="E94" s="538">
        <f>E95</f>
        <v>6792</v>
      </c>
      <c r="F94" s="538">
        <f>F95</f>
        <v>6792</v>
      </c>
      <c r="G94" s="538">
        <f>G95</f>
        <v>0</v>
      </c>
    </row>
    <row r="95" spans="1:7" ht="18.75" customHeight="1">
      <c r="A95" s="529"/>
      <c r="B95" s="297">
        <v>60016</v>
      </c>
      <c r="C95" s="544"/>
      <c r="D95" s="545" t="s">
        <v>102</v>
      </c>
      <c r="E95" s="534">
        <f>F95+G95</f>
        <v>6792</v>
      </c>
      <c r="F95" s="541">
        <v>6792</v>
      </c>
      <c r="G95" s="535"/>
    </row>
    <row r="96" spans="1:7" ht="18.75" customHeight="1">
      <c r="A96" s="529">
        <v>921</v>
      </c>
      <c r="B96" s="529"/>
      <c r="C96" s="529"/>
      <c r="D96" s="530" t="s">
        <v>220</v>
      </c>
      <c r="E96" s="531">
        <f>E97</f>
        <v>1900</v>
      </c>
      <c r="F96" s="531">
        <f>F97</f>
        <v>1900</v>
      </c>
      <c r="G96" s="532">
        <f>G97</f>
        <v>0</v>
      </c>
    </row>
    <row r="97" spans="1:7" ht="18.75" customHeight="1">
      <c r="A97" s="533"/>
      <c r="B97" s="533">
        <v>92195</v>
      </c>
      <c r="C97" s="533"/>
      <c r="D97" s="301" t="s">
        <v>95</v>
      </c>
      <c r="E97" s="534">
        <f>F97+G97</f>
        <v>1900</v>
      </c>
      <c r="F97" s="534">
        <f>1200+700</f>
        <v>1900</v>
      </c>
      <c r="G97" s="534"/>
    </row>
    <row r="98" spans="1:7" ht="18.75" customHeight="1">
      <c r="A98" s="529">
        <v>926</v>
      </c>
      <c r="B98" s="529"/>
      <c r="C98" s="529"/>
      <c r="D98" s="537" t="s">
        <v>223</v>
      </c>
      <c r="E98" s="531">
        <f>F98+G98</f>
        <v>300</v>
      </c>
      <c r="F98" s="538">
        <f>SUM(F99)</f>
        <v>300</v>
      </c>
      <c r="G98" s="538">
        <f>SUM(G99)</f>
        <v>0</v>
      </c>
    </row>
    <row r="99" spans="1:7" ht="18.75" customHeight="1">
      <c r="A99" s="533"/>
      <c r="B99" s="533">
        <v>92695</v>
      </c>
      <c r="C99" s="533"/>
      <c r="D99" s="301" t="s">
        <v>95</v>
      </c>
      <c r="E99" s="534">
        <f>F99+G99</f>
        <v>300</v>
      </c>
      <c r="F99" s="535">
        <v>300</v>
      </c>
      <c r="G99" s="534"/>
    </row>
    <row r="100" spans="1:7" ht="19.5" customHeight="1">
      <c r="A100" s="525" t="s">
        <v>571</v>
      </c>
      <c r="B100" s="525"/>
      <c r="C100" s="525"/>
      <c r="D100" s="525"/>
      <c r="E100" s="526">
        <f>E103+E101</f>
        <v>4765</v>
      </c>
      <c r="F100" s="526">
        <f>F103+F101</f>
        <v>4765</v>
      </c>
      <c r="G100" s="527">
        <f>G103+G101</f>
        <v>0</v>
      </c>
    </row>
    <row r="101" spans="1:7" ht="15">
      <c r="A101" s="529">
        <v>900</v>
      </c>
      <c r="B101" s="529"/>
      <c r="C101" s="529"/>
      <c r="D101" s="530" t="s">
        <v>392</v>
      </c>
      <c r="E101" s="538">
        <f>E102</f>
        <v>2365</v>
      </c>
      <c r="F101" s="538">
        <f>F102</f>
        <v>2365</v>
      </c>
      <c r="G101" s="538">
        <f>G102</f>
        <v>0</v>
      </c>
    </row>
    <row r="102" spans="1:7" ht="18.75" customHeight="1">
      <c r="A102" s="529"/>
      <c r="B102" s="297">
        <v>90015</v>
      </c>
      <c r="C102" s="297"/>
      <c r="D102" s="480" t="s">
        <v>397</v>
      </c>
      <c r="E102" s="534">
        <f>F102+G102</f>
        <v>2365</v>
      </c>
      <c r="F102" s="541">
        <v>2365</v>
      </c>
      <c r="G102" s="535"/>
    </row>
    <row r="103" spans="1:7" ht="18.75" customHeight="1">
      <c r="A103" s="529">
        <v>921</v>
      </c>
      <c r="B103" s="529"/>
      <c r="C103" s="529"/>
      <c r="D103" s="530" t="s">
        <v>220</v>
      </c>
      <c r="E103" s="531">
        <f>E104</f>
        <v>2400</v>
      </c>
      <c r="F103" s="531">
        <f>F104</f>
        <v>2400</v>
      </c>
      <c r="G103" s="532">
        <f>G104</f>
        <v>0</v>
      </c>
    </row>
    <row r="104" spans="1:7" ht="18.75" customHeight="1">
      <c r="A104" s="533"/>
      <c r="B104" s="533">
        <v>92195</v>
      </c>
      <c r="C104" s="533"/>
      <c r="D104" s="301" t="s">
        <v>95</v>
      </c>
      <c r="E104" s="534">
        <f>F104+G104</f>
        <v>2400</v>
      </c>
      <c r="F104" s="534">
        <f>500+1900</f>
        <v>2400</v>
      </c>
      <c r="G104" s="534"/>
    </row>
    <row r="105" spans="1:7" ht="19.5" customHeight="1">
      <c r="A105" s="525" t="s">
        <v>572</v>
      </c>
      <c r="B105" s="525"/>
      <c r="C105" s="525"/>
      <c r="D105" s="525"/>
      <c r="E105" s="526">
        <f>E106</f>
        <v>5967</v>
      </c>
      <c r="F105" s="526">
        <f>F106</f>
        <v>5967</v>
      </c>
      <c r="G105" s="527">
        <f>G106</f>
        <v>0</v>
      </c>
    </row>
    <row r="106" spans="1:7" ht="18.75" customHeight="1">
      <c r="A106" s="529">
        <v>921</v>
      </c>
      <c r="B106" s="529"/>
      <c r="C106" s="529"/>
      <c r="D106" s="530" t="s">
        <v>220</v>
      </c>
      <c r="E106" s="531">
        <f>E108+E107</f>
        <v>5967</v>
      </c>
      <c r="F106" s="531">
        <f>F108+F107</f>
        <v>5967</v>
      </c>
      <c r="G106" s="532">
        <f>G108+G107</f>
        <v>0</v>
      </c>
    </row>
    <row r="107" spans="1:7" ht="18.75" customHeight="1">
      <c r="A107" s="529"/>
      <c r="B107" s="297">
        <v>92109</v>
      </c>
      <c r="C107" s="297"/>
      <c r="D107" s="480" t="s">
        <v>221</v>
      </c>
      <c r="E107" s="534">
        <f>F107+G107</f>
        <v>4767</v>
      </c>
      <c r="F107" s="534">
        <f>800+200+2573+1194</f>
        <v>4767</v>
      </c>
      <c r="G107" s="532"/>
    </row>
    <row r="108" spans="1:7" ht="18.75" customHeight="1">
      <c r="A108" s="533"/>
      <c r="B108" s="533">
        <v>92195</v>
      </c>
      <c r="C108" s="533"/>
      <c r="D108" s="301" t="s">
        <v>95</v>
      </c>
      <c r="E108" s="534">
        <f>F108+G108</f>
        <v>1200</v>
      </c>
      <c r="F108" s="534">
        <f>400+250+250+300</f>
        <v>1200</v>
      </c>
      <c r="G108" s="534"/>
    </row>
    <row r="109" spans="1:7" ht="18.75" customHeight="1">
      <c r="A109" s="546" t="s">
        <v>228</v>
      </c>
      <c r="B109" s="546"/>
      <c r="C109" s="546"/>
      <c r="D109" s="546"/>
      <c r="E109" s="547">
        <f>E33+E29+E23+E20+E12+E5+E44+E52+E57+E67+E71+E105+E100+E93+E87+E76+E37+E64+E80</f>
        <v>182586</v>
      </c>
      <c r="F109" s="547">
        <f>F33+F29+F23+F20+F12+F5+F44+F52+F57+F67+F71+F105+F100+F93+F87+F76+F37+F64+F80</f>
        <v>182586</v>
      </c>
      <c r="G109" s="548">
        <f>G33+G29+G23+G20+G12+G5+G44+G52+G57+G67+G71+G105+G100+G93+G87+G76+G37+G64+G80</f>
        <v>0</v>
      </c>
    </row>
    <row r="110" spans="2:5" ht="15">
      <c r="B110" s="500"/>
      <c r="C110" s="500"/>
      <c r="D110" s="500"/>
      <c r="E110" s="500"/>
    </row>
    <row r="111" spans="1:5" ht="15" customHeight="1">
      <c r="A111" s="549"/>
      <c r="B111" s="549"/>
      <c r="C111" s="549"/>
      <c r="D111" s="549"/>
      <c r="E111" s="500"/>
    </row>
    <row r="112" spans="2:5" ht="15">
      <c r="B112" s="500"/>
      <c r="C112" s="500"/>
      <c r="D112" s="500"/>
      <c r="E112" s="500"/>
    </row>
    <row r="113" spans="2:5" ht="15">
      <c r="B113" s="500"/>
      <c r="C113" s="500"/>
      <c r="D113" s="500"/>
      <c r="E113" s="500"/>
    </row>
    <row r="114" spans="2:5" ht="15">
      <c r="B114" s="500"/>
      <c r="C114" s="500"/>
      <c r="D114" s="500"/>
      <c r="E114" s="500"/>
    </row>
    <row r="115" spans="2:5" ht="15">
      <c r="B115" s="500"/>
      <c r="C115" s="500"/>
      <c r="D115" s="500"/>
      <c r="E115" s="500"/>
    </row>
    <row r="116" spans="2:5" ht="15">
      <c r="B116" s="500"/>
      <c r="C116" s="500"/>
      <c r="D116" s="500"/>
      <c r="E116" s="500"/>
    </row>
    <row r="117" spans="2:5" ht="15">
      <c r="B117" s="500"/>
      <c r="C117" s="500"/>
      <c r="D117" s="500"/>
      <c r="E117" s="500"/>
    </row>
    <row r="118" spans="2:5" ht="15">
      <c r="B118" s="500"/>
      <c r="C118" s="500"/>
      <c r="D118" s="500"/>
      <c r="E118" s="500"/>
    </row>
    <row r="119" spans="2:5" ht="15">
      <c r="B119" s="500"/>
      <c r="C119" s="500"/>
      <c r="D119" s="500"/>
      <c r="E119" s="500"/>
    </row>
  </sheetData>
  <mergeCells count="28">
    <mergeCell ref="A1:G1"/>
    <mergeCell ref="A2:A3"/>
    <mergeCell ref="B2:B3"/>
    <mergeCell ref="C2:C3"/>
    <mergeCell ref="D2:D3"/>
    <mergeCell ref="E2:E3"/>
    <mergeCell ref="F2:G2"/>
    <mergeCell ref="A5:D5"/>
    <mergeCell ref="A12:D12"/>
    <mergeCell ref="A20:D20"/>
    <mergeCell ref="A23:D23"/>
    <mergeCell ref="A29:D29"/>
    <mergeCell ref="A33:D33"/>
    <mergeCell ref="A37:D37"/>
    <mergeCell ref="A44:D44"/>
    <mergeCell ref="A52:D52"/>
    <mergeCell ref="A57:D57"/>
    <mergeCell ref="A64:D64"/>
    <mergeCell ref="A67:D67"/>
    <mergeCell ref="A71:D71"/>
    <mergeCell ref="A76:D76"/>
    <mergeCell ref="A80:D80"/>
    <mergeCell ref="A87:D87"/>
    <mergeCell ref="A93:D93"/>
    <mergeCell ref="A100:D100"/>
    <mergeCell ref="A105:D105"/>
    <mergeCell ref="A109:D109"/>
    <mergeCell ref="A111:D111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portrait" paperSize="9"/>
  <headerFooter alignWithMargins="0">
    <oddHeader>&amp;R&amp;"Times New Roman,Normalny"&amp;12Załącznik Nr 28 do projektu Uchwały Nr …. Rady Miejskiej w Barlinku z dnia ........grudnia 2010</oddHeader>
    <oddFooter>&amp;C&amp;"Times New Roman,Normalny"&amp;12Strona &amp;P z &amp;N</oddFooter>
  </headerFooter>
  <rowBreaks count="2" manualBreakCount="2">
    <brk id="36" max="255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showGridLines="0" defaultGridColor="0" view="pageBreakPreview" zoomScaleSheetLayoutView="100" colorId="15" workbookViewId="0" topLeftCell="A1">
      <pane ySplit="5" topLeftCell="A88" activePane="bottomLeft" state="frozen"/>
      <selection pane="topLeft" activeCell="A1" sqref="A1"/>
      <selection pane="bottomLeft" activeCell="F119" sqref="F119"/>
    </sheetView>
  </sheetViews>
  <sheetFormatPr defaultColWidth="9.00390625" defaultRowHeight="12.75"/>
  <cols>
    <col min="1" max="1" width="6.00390625" style="37" customWidth="1"/>
    <col min="2" max="2" width="8.625" style="38" customWidth="1"/>
    <col min="3" max="3" width="6.00390625" style="39" customWidth="1"/>
    <col min="4" max="4" width="78.25390625" style="40" customWidth="1"/>
    <col min="5" max="5" width="12.75390625" style="41" customWidth="1"/>
    <col min="6" max="6" width="13.875" style="41" customWidth="1"/>
    <col min="7" max="7" width="12.125" style="41" customWidth="1"/>
    <col min="8" max="8" width="10.50390625" style="41" customWidth="1"/>
    <col min="9" max="9" width="10.25390625" style="41" customWidth="1"/>
    <col min="10" max="10" width="9.00390625" style="38" customWidth="1"/>
    <col min="11" max="11" width="16.875" style="38" customWidth="1"/>
    <col min="12" max="16384" width="9.00390625" style="38" customWidth="1"/>
  </cols>
  <sheetData>
    <row r="1" spans="1:9" ht="43.5" customHeight="1">
      <c r="A1" s="28" t="s">
        <v>85</v>
      </c>
      <c r="B1" s="28"/>
      <c r="C1" s="28"/>
      <c r="D1" s="28"/>
      <c r="E1" s="28"/>
      <c r="F1" s="28"/>
      <c r="G1" s="28"/>
      <c r="H1" s="28"/>
      <c r="I1" s="28"/>
    </row>
    <row r="2" spans="1:9" ht="15.75" customHeight="1">
      <c r="A2" s="42" t="s">
        <v>66</v>
      </c>
      <c r="B2" s="42" t="s">
        <v>86</v>
      </c>
      <c r="C2" s="42" t="s">
        <v>87</v>
      </c>
      <c r="D2" s="42" t="s">
        <v>88</v>
      </c>
      <c r="E2" s="42" t="s">
        <v>89</v>
      </c>
      <c r="F2" s="43" t="s">
        <v>90</v>
      </c>
      <c r="G2" s="43"/>
      <c r="H2" s="43"/>
      <c r="I2" s="43"/>
    </row>
    <row r="3" spans="1:9" s="44" customFormat="1" ht="13.5" customHeight="1">
      <c r="A3" s="42"/>
      <c r="B3" s="42"/>
      <c r="C3" s="42"/>
      <c r="D3" s="42"/>
      <c r="E3" s="42"/>
      <c r="F3" s="42" t="s">
        <v>69</v>
      </c>
      <c r="G3" s="42" t="s">
        <v>90</v>
      </c>
      <c r="H3" s="42" t="s">
        <v>70</v>
      </c>
      <c r="I3" s="42" t="s">
        <v>90</v>
      </c>
    </row>
    <row r="4" spans="1:9" s="45" customFormat="1" ht="102">
      <c r="A4" s="42"/>
      <c r="B4" s="42"/>
      <c r="C4" s="42"/>
      <c r="D4" s="42"/>
      <c r="E4" s="42"/>
      <c r="F4" s="42"/>
      <c r="G4" s="42" t="s">
        <v>91</v>
      </c>
      <c r="H4" s="42"/>
      <c r="I4" s="42" t="s">
        <v>91</v>
      </c>
    </row>
    <row r="5" spans="1:9" s="39" customFormat="1" ht="15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8">
        <v>7</v>
      </c>
      <c r="H5" s="48">
        <v>8</v>
      </c>
      <c r="I5" s="48">
        <v>9</v>
      </c>
    </row>
    <row r="6" spans="1:9" ht="18.75" customHeight="1">
      <c r="A6" s="49" t="s">
        <v>92</v>
      </c>
      <c r="B6" s="49"/>
      <c r="C6" s="49"/>
      <c r="D6" s="50" t="s">
        <v>93</v>
      </c>
      <c r="E6" s="51">
        <f>E7</f>
        <v>5331</v>
      </c>
      <c r="F6" s="51">
        <f>F7</f>
        <v>5331</v>
      </c>
      <c r="G6" s="51">
        <f>G7</f>
        <v>0</v>
      </c>
      <c r="H6" s="51">
        <f>H7</f>
        <v>0</v>
      </c>
      <c r="I6" s="51">
        <f>I7</f>
        <v>0</v>
      </c>
    </row>
    <row r="7" spans="1:9" ht="18.75" customHeight="1">
      <c r="A7" s="52"/>
      <c r="B7" s="52" t="s">
        <v>94</v>
      </c>
      <c r="C7" s="52"/>
      <c r="D7" s="53" t="s">
        <v>95</v>
      </c>
      <c r="E7" s="54">
        <f>E8</f>
        <v>5331</v>
      </c>
      <c r="F7" s="54">
        <f>F8</f>
        <v>5331</v>
      </c>
      <c r="G7" s="54">
        <f>G8</f>
        <v>0</v>
      </c>
      <c r="H7" s="54">
        <f>H8</f>
        <v>0</v>
      </c>
      <c r="I7" s="54">
        <f>I8</f>
        <v>0</v>
      </c>
    </row>
    <row r="8" spans="1:9" ht="45.75" customHeight="1">
      <c r="A8" s="52"/>
      <c r="B8" s="55"/>
      <c r="C8" s="55" t="s">
        <v>96</v>
      </c>
      <c r="D8" s="56" t="s">
        <v>97</v>
      </c>
      <c r="E8" s="57">
        <f>F8+H8</f>
        <v>5331</v>
      </c>
      <c r="F8" s="57">
        <f>2331+3000</f>
        <v>5331</v>
      </c>
      <c r="G8" s="57"/>
      <c r="H8" s="58"/>
      <c r="I8" s="58"/>
    </row>
    <row r="9" spans="1:9" ht="18.75" customHeight="1">
      <c r="A9" s="50">
        <v>400</v>
      </c>
      <c r="B9" s="50"/>
      <c r="C9" s="50"/>
      <c r="D9" s="50" t="s">
        <v>98</v>
      </c>
      <c r="E9" s="59">
        <f>E10</f>
        <v>676200</v>
      </c>
      <c r="F9" s="59">
        <f>F10</f>
        <v>0</v>
      </c>
      <c r="G9" s="59">
        <f>G10</f>
        <v>0</v>
      </c>
      <c r="H9" s="59">
        <f>H10</f>
        <v>676200</v>
      </c>
      <c r="I9" s="59">
        <f>I10</f>
        <v>676200</v>
      </c>
    </row>
    <row r="10" spans="1:9" ht="18.75" customHeight="1">
      <c r="A10" s="60"/>
      <c r="B10" s="60">
        <v>40002</v>
      </c>
      <c r="C10" s="60"/>
      <c r="D10" s="61" t="s">
        <v>99</v>
      </c>
      <c r="E10" s="62">
        <f>E11</f>
        <v>676200</v>
      </c>
      <c r="F10" s="62">
        <f>F11</f>
        <v>0</v>
      </c>
      <c r="G10" s="62">
        <f>G11</f>
        <v>0</v>
      </c>
      <c r="H10" s="62">
        <f>H11</f>
        <v>676200</v>
      </c>
      <c r="I10" s="62">
        <f>I11</f>
        <v>676200</v>
      </c>
    </row>
    <row r="11" spans="1:9" ht="57.75">
      <c r="A11" s="60"/>
      <c r="B11" s="63"/>
      <c r="C11" s="63">
        <v>6207</v>
      </c>
      <c r="D11" s="64" t="s">
        <v>100</v>
      </c>
      <c r="E11" s="65">
        <f>F11+H11</f>
        <v>676200</v>
      </c>
      <c r="F11" s="65"/>
      <c r="G11" s="66"/>
      <c r="H11" s="65">
        <f>I11</f>
        <v>676200</v>
      </c>
      <c r="I11" s="65">
        <v>676200</v>
      </c>
    </row>
    <row r="12" spans="1:9" ht="18.75" customHeight="1">
      <c r="A12" s="67">
        <v>600</v>
      </c>
      <c r="B12" s="67"/>
      <c r="C12" s="67"/>
      <c r="D12" s="50" t="s">
        <v>101</v>
      </c>
      <c r="E12" s="51">
        <f>E13</f>
        <v>1908413</v>
      </c>
      <c r="F12" s="51">
        <f>F13</f>
        <v>0</v>
      </c>
      <c r="G12" s="51">
        <f>G13</f>
        <v>0</v>
      </c>
      <c r="H12" s="51">
        <f>H13</f>
        <v>1908413</v>
      </c>
      <c r="I12" s="51">
        <f>I13</f>
        <v>1715413</v>
      </c>
    </row>
    <row r="13" spans="1:9" ht="18.75" customHeight="1">
      <c r="A13" s="68"/>
      <c r="B13" s="68">
        <v>60016</v>
      </c>
      <c r="C13" s="68"/>
      <c r="D13" s="69" t="s">
        <v>102</v>
      </c>
      <c r="E13" s="54">
        <f>E14+E15</f>
        <v>1908413</v>
      </c>
      <c r="F13" s="54">
        <f>F14+F15</f>
        <v>0</v>
      </c>
      <c r="G13" s="54">
        <f>G14+G15</f>
        <v>0</v>
      </c>
      <c r="H13" s="54">
        <f>H14+H15</f>
        <v>1908413</v>
      </c>
      <c r="I13" s="54">
        <f>I14+I15</f>
        <v>1715413</v>
      </c>
    </row>
    <row r="14" spans="1:9" ht="57.75">
      <c r="A14" s="68"/>
      <c r="B14" s="70"/>
      <c r="C14" s="55" t="s">
        <v>103</v>
      </c>
      <c r="D14" s="64" t="s">
        <v>100</v>
      </c>
      <c r="E14" s="57">
        <f>H14</f>
        <v>1715413</v>
      </c>
      <c r="F14" s="57"/>
      <c r="G14" s="57"/>
      <c r="H14" s="66">
        <f>I14</f>
        <v>1715413</v>
      </c>
      <c r="I14" s="66">
        <v>1715413</v>
      </c>
    </row>
    <row r="15" spans="1:9" ht="30.75" customHeight="1">
      <c r="A15" s="68"/>
      <c r="B15" s="70"/>
      <c r="C15" s="55" t="s">
        <v>104</v>
      </c>
      <c r="D15" s="71" t="s">
        <v>105</v>
      </c>
      <c r="E15" s="57">
        <f>H15</f>
        <v>193000</v>
      </c>
      <c r="F15" s="57"/>
      <c r="G15" s="57"/>
      <c r="H15" s="66">
        <v>193000</v>
      </c>
      <c r="I15" s="66"/>
    </row>
    <row r="16" spans="1:9" ht="18.75" customHeight="1">
      <c r="A16" s="49">
        <v>700</v>
      </c>
      <c r="B16" s="49"/>
      <c r="C16" s="49"/>
      <c r="D16" s="50" t="s">
        <v>106</v>
      </c>
      <c r="E16" s="51">
        <f>E17</f>
        <v>1646500</v>
      </c>
      <c r="F16" s="51">
        <f>F17</f>
        <v>373500</v>
      </c>
      <c r="G16" s="51">
        <f>G17</f>
        <v>0</v>
      </c>
      <c r="H16" s="51">
        <f>H17</f>
        <v>1273000</v>
      </c>
      <c r="I16" s="51">
        <f>I17</f>
        <v>0</v>
      </c>
    </row>
    <row r="17" spans="1:9" ht="18.75" customHeight="1">
      <c r="A17" s="52"/>
      <c r="B17" s="52">
        <v>70005</v>
      </c>
      <c r="C17" s="52"/>
      <c r="D17" s="53" t="s">
        <v>107</v>
      </c>
      <c r="E17" s="54">
        <f>E18+E20+E21+E22+E23</f>
        <v>1646500</v>
      </c>
      <c r="F17" s="54">
        <f>F18+F20+F21+F22+F23</f>
        <v>373500</v>
      </c>
      <c r="G17" s="54">
        <f>G18+G20+G21+G22+G23</f>
        <v>0</v>
      </c>
      <c r="H17" s="54">
        <f>H18+H20+H21+H22+H23</f>
        <v>1273000</v>
      </c>
      <c r="I17" s="54">
        <f>I18+I20+I21+I22+I23</f>
        <v>0</v>
      </c>
    </row>
    <row r="18" spans="1:9" ht="18" customHeight="1">
      <c r="A18" s="52"/>
      <c r="B18" s="55"/>
      <c r="C18" s="55" t="s">
        <v>108</v>
      </c>
      <c r="D18" s="56" t="s">
        <v>109</v>
      </c>
      <c r="E18" s="57">
        <f>F18+H18</f>
        <v>271000</v>
      </c>
      <c r="F18" s="57">
        <v>271000</v>
      </c>
      <c r="G18" s="57"/>
      <c r="H18" s="58"/>
      <c r="I18" s="58"/>
    </row>
    <row r="19" spans="1:9" ht="18" customHeight="1">
      <c r="A19" s="72"/>
      <c r="B19" s="55"/>
      <c r="C19" s="55" t="s">
        <v>110</v>
      </c>
      <c r="D19" s="56" t="s">
        <v>111</v>
      </c>
      <c r="E19" s="57">
        <f>F19</f>
        <v>10000</v>
      </c>
      <c r="F19" s="57">
        <v>10000</v>
      </c>
      <c r="G19" s="57"/>
      <c r="H19" s="58"/>
      <c r="I19" s="58"/>
    </row>
    <row r="20" spans="1:9" ht="45.75" customHeight="1">
      <c r="A20" s="52"/>
      <c r="B20" s="55"/>
      <c r="C20" s="55" t="s">
        <v>96</v>
      </c>
      <c r="D20" s="56" t="s">
        <v>112</v>
      </c>
      <c r="E20" s="57">
        <f>F20+H20</f>
        <v>97500</v>
      </c>
      <c r="F20" s="57">
        <v>97500</v>
      </c>
      <c r="G20" s="57"/>
      <c r="H20" s="58"/>
      <c r="I20" s="58"/>
    </row>
    <row r="21" spans="1:9" ht="30.75" customHeight="1">
      <c r="A21" s="52"/>
      <c r="B21" s="55"/>
      <c r="C21" s="55" t="s">
        <v>113</v>
      </c>
      <c r="D21" s="56" t="s">
        <v>114</v>
      </c>
      <c r="E21" s="57">
        <f>F21+H21</f>
        <v>25000</v>
      </c>
      <c r="F21" s="57"/>
      <c r="G21" s="57"/>
      <c r="H21" s="57">
        <v>25000</v>
      </c>
      <c r="I21" s="57"/>
    </row>
    <row r="22" spans="1:9" ht="30.75" customHeight="1">
      <c r="A22" s="52"/>
      <c r="B22" s="55"/>
      <c r="C22" s="55" t="s">
        <v>115</v>
      </c>
      <c r="D22" s="56" t="s">
        <v>116</v>
      </c>
      <c r="E22" s="57">
        <f>F22+H22</f>
        <v>1248000</v>
      </c>
      <c r="F22" s="57"/>
      <c r="G22" s="57"/>
      <c r="H22" s="57">
        <f>1048000+200000</f>
        <v>1248000</v>
      </c>
      <c r="I22" s="57"/>
    </row>
    <row r="23" spans="1:9" ht="18" customHeight="1">
      <c r="A23" s="55"/>
      <c r="B23" s="55"/>
      <c r="C23" s="55" t="s">
        <v>117</v>
      </c>
      <c r="D23" s="56" t="s">
        <v>118</v>
      </c>
      <c r="E23" s="57">
        <f>F23+H23</f>
        <v>5000</v>
      </c>
      <c r="F23" s="57">
        <v>5000</v>
      </c>
      <c r="G23" s="57"/>
      <c r="H23" s="58"/>
      <c r="I23" s="58"/>
    </row>
    <row r="24" spans="1:9" ht="18.75" customHeight="1">
      <c r="A24" s="49">
        <v>710</v>
      </c>
      <c r="B24" s="49"/>
      <c r="C24" s="49"/>
      <c r="D24" s="73" t="s">
        <v>119</v>
      </c>
      <c r="E24" s="51">
        <f>E25</f>
        <v>40500</v>
      </c>
      <c r="F24" s="51">
        <f>F25</f>
        <v>40500</v>
      </c>
      <c r="G24" s="51">
        <f>G25</f>
        <v>0</v>
      </c>
      <c r="H24" s="51">
        <f>H25</f>
        <v>0</v>
      </c>
      <c r="I24" s="51">
        <f>I25</f>
        <v>0</v>
      </c>
    </row>
    <row r="25" spans="1:9" ht="18.75" customHeight="1">
      <c r="A25" s="52"/>
      <c r="B25" s="52">
        <v>71035</v>
      </c>
      <c r="C25" s="52"/>
      <c r="D25" s="53" t="s">
        <v>120</v>
      </c>
      <c r="E25" s="54">
        <f>E26</f>
        <v>40500</v>
      </c>
      <c r="F25" s="54">
        <f>F26</f>
        <v>40500</v>
      </c>
      <c r="G25" s="54">
        <f>G26</f>
        <v>0</v>
      </c>
      <c r="H25" s="54">
        <f>H26</f>
        <v>0</v>
      </c>
      <c r="I25" s="54">
        <f>I26</f>
        <v>0</v>
      </c>
    </row>
    <row r="26" spans="1:9" ht="43.5">
      <c r="A26" s="52"/>
      <c r="B26" s="55"/>
      <c r="C26" s="55" t="s">
        <v>96</v>
      </c>
      <c r="D26" s="56" t="s">
        <v>112</v>
      </c>
      <c r="E26" s="57">
        <f>F26</f>
        <v>40500</v>
      </c>
      <c r="F26" s="57">
        <v>40500</v>
      </c>
      <c r="G26" s="57"/>
      <c r="H26" s="58"/>
      <c r="I26" s="58"/>
    </row>
    <row r="27" spans="1:9" ht="18.75" customHeight="1">
      <c r="A27" s="49">
        <v>750</v>
      </c>
      <c r="B27" s="49"/>
      <c r="C27" s="49"/>
      <c r="D27" s="50" t="s">
        <v>121</v>
      </c>
      <c r="E27" s="51">
        <f>E28</f>
        <v>11200</v>
      </c>
      <c r="F27" s="51">
        <f>F28</f>
        <v>11200</v>
      </c>
      <c r="G27" s="51">
        <f>G28</f>
        <v>0</v>
      </c>
      <c r="H27" s="51">
        <f>H28</f>
        <v>0</v>
      </c>
      <c r="I27" s="51">
        <f>I28</f>
        <v>0</v>
      </c>
    </row>
    <row r="28" spans="1:9" ht="18.75" customHeight="1">
      <c r="A28" s="52"/>
      <c r="B28" s="52">
        <v>75023</v>
      </c>
      <c r="C28" s="52"/>
      <c r="D28" s="53" t="s">
        <v>122</v>
      </c>
      <c r="E28" s="54">
        <f>SUM(E29:E31)</f>
        <v>11200</v>
      </c>
      <c r="F28" s="54">
        <f>SUM(F29:F31)</f>
        <v>11200</v>
      </c>
      <c r="G28" s="54">
        <f>SUM(G29:G31)</f>
        <v>0</v>
      </c>
      <c r="H28" s="54">
        <f>SUM(H29:H31)</f>
        <v>0</v>
      </c>
      <c r="I28" s="54">
        <f>SUM(I29:I31)</f>
        <v>0</v>
      </c>
    </row>
    <row r="29" spans="1:9" ht="18" customHeight="1">
      <c r="A29" s="52"/>
      <c r="B29" s="55"/>
      <c r="C29" s="55" t="s">
        <v>123</v>
      </c>
      <c r="D29" s="56" t="s">
        <v>124</v>
      </c>
      <c r="E29" s="57">
        <f>F29</f>
        <v>200</v>
      </c>
      <c r="F29" s="57">
        <v>200</v>
      </c>
      <c r="G29" s="57"/>
      <c r="H29" s="58"/>
      <c r="I29" s="58"/>
    </row>
    <row r="30" spans="1:9" ht="18" customHeight="1">
      <c r="A30" s="52"/>
      <c r="B30" s="55"/>
      <c r="C30" s="55" t="s">
        <v>125</v>
      </c>
      <c r="D30" s="56" t="s">
        <v>126</v>
      </c>
      <c r="E30" s="57">
        <f>F30</f>
        <v>1000</v>
      </c>
      <c r="F30" s="57">
        <v>1000</v>
      </c>
      <c r="G30" s="57"/>
      <c r="H30" s="58"/>
      <c r="I30" s="58"/>
    </row>
    <row r="31" spans="1:9" ht="18" customHeight="1">
      <c r="A31" s="55"/>
      <c r="B31" s="55"/>
      <c r="C31" s="55" t="s">
        <v>117</v>
      </c>
      <c r="D31" s="56" t="s">
        <v>118</v>
      </c>
      <c r="E31" s="57">
        <f>F31</f>
        <v>10000</v>
      </c>
      <c r="F31" s="57">
        <v>10000</v>
      </c>
      <c r="G31" s="57"/>
      <c r="H31" s="58"/>
      <c r="I31" s="58"/>
    </row>
    <row r="32" spans="1:9" ht="32.25" customHeight="1">
      <c r="A32" s="74" t="s">
        <v>127</v>
      </c>
      <c r="B32" s="49"/>
      <c r="C32" s="49"/>
      <c r="D32" s="50" t="s">
        <v>128</v>
      </c>
      <c r="E32" s="51">
        <f>E33+E36+E56+E61+E63+E66+E45</f>
        <v>18910671</v>
      </c>
      <c r="F32" s="51">
        <f>F33+F36+F56+F61+F63+F66+F45</f>
        <v>18910671</v>
      </c>
      <c r="G32" s="51">
        <f>G33+G36+G56+G61+G63+G66+G45</f>
        <v>0</v>
      </c>
      <c r="H32" s="51">
        <f>H33+H36+H56+H61+H63+H66+H45</f>
        <v>0</v>
      </c>
      <c r="I32" s="51">
        <f>I33+I36+I56+I61+I63+I66+I45</f>
        <v>0</v>
      </c>
    </row>
    <row r="33" spans="1:9" ht="18.75" customHeight="1">
      <c r="A33" s="52"/>
      <c r="B33" s="52">
        <v>75601</v>
      </c>
      <c r="C33" s="52"/>
      <c r="D33" s="53" t="s">
        <v>129</v>
      </c>
      <c r="E33" s="54">
        <f>SUM(E34:E35)</f>
        <v>3050</v>
      </c>
      <c r="F33" s="54">
        <f>SUM(F34:F35)</f>
        <v>3050</v>
      </c>
      <c r="G33" s="54">
        <f>SUM(G34:G35)</f>
        <v>0</v>
      </c>
      <c r="H33" s="54">
        <f>SUM(H34:H35)</f>
        <v>0</v>
      </c>
      <c r="I33" s="54">
        <f>SUM(I34:I35)</f>
        <v>0</v>
      </c>
    </row>
    <row r="34" spans="1:9" ht="30.75" customHeight="1">
      <c r="A34" s="52"/>
      <c r="B34" s="55"/>
      <c r="C34" s="55" t="s">
        <v>130</v>
      </c>
      <c r="D34" s="56" t="s">
        <v>131</v>
      </c>
      <c r="E34" s="57">
        <f>F34</f>
        <v>3000</v>
      </c>
      <c r="F34" s="57">
        <v>3000</v>
      </c>
      <c r="G34" s="57"/>
      <c r="H34" s="58"/>
      <c r="I34" s="58"/>
    </row>
    <row r="35" spans="1:9" ht="18" customHeight="1">
      <c r="A35" s="52"/>
      <c r="B35" s="55"/>
      <c r="C35" s="55" t="s">
        <v>132</v>
      </c>
      <c r="D35" s="56" t="s">
        <v>133</v>
      </c>
      <c r="E35" s="57">
        <f>F35</f>
        <v>50</v>
      </c>
      <c r="F35" s="57">
        <v>50</v>
      </c>
      <c r="G35" s="57"/>
      <c r="H35" s="58"/>
      <c r="I35" s="58"/>
    </row>
    <row r="36" spans="1:9" ht="45.75" customHeight="1">
      <c r="A36" s="52"/>
      <c r="B36" s="52">
        <v>75615</v>
      </c>
      <c r="C36" s="52"/>
      <c r="D36" s="53" t="s">
        <v>134</v>
      </c>
      <c r="E36" s="54">
        <f>SUM(E37:E44)</f>
        <v>6657299</v>
      </c>
      <c r="F36" s="54">
        <f>SUM(F37:F44)</f>
        <v>6657299</v>
      </c>
      <c r="G36" s="54">
        <f>SUM(G37:G44)</f>
        <v>0</v>
      </c>
      <c r="H36" s="54">
        <f>SUM(H37:H44)</f>
        <v>0</v>
      </c>
      <c r="I36" s="54">
        <f>SUM(I37:I44)</f>
        <v>0</v>
      </c>
    </row>
    <row r="37" spans="1:9" ht="18" customHeight="1">
      <c r="A37" s="55"/>
      <c r="B37" s="55"/>
      <c r="C37" s="55" t="s">
        <v>135</v>
      </c>
      <c r="D37" s="56" t="s">
        <v>136</v>
      </c>
      <c r="E37" s="57">
        <f>F37</f>
        <v>6163000</v>
      </c>
      <c r="F37" s="57">
        <v>6163000</v>
      </c>
      <c r="G37" s="57"/>
      <c r="H37" s="75"/>
      <c r="I37" s="58"/>
    </row>
    <row r="38" spans="1:11" ht="18" customHeight="1">
      <c r="A38" s="55"/>
      <c r="B38" s="55"/>
      <c r="C38" s="55" t="s">
        <v>137</v>
      </c>
      <c r="D38" s="56" t="s">
        <v>138</v>
      </c>
      <c r="E38" s="57">
        <f>F38</f>
        <v>107000</v>
      </c>
      <c r="F38" s="57">
        <v>107000</v>
      </c>
      <c r="G38" s="57"/>
      <c r="H38" s="58"/>
      <c r="I38" s="58"/>
      <c r="K38" s="76"/>
    </row>
    <row r="39" spans="1:9" ht="18" customHeight="1">
      <c r="A39" s="55"/>
      <c r="B39" s="55"/>
      <c r="C39" s="55" t="s">
        <v>139</v>
      </c>
      <c r="D39" s="56" t="s">
        <v>140</v>
      </c>
      <c r="E39" s="57">
        <f>F39</f>
        <v>227413</v>
      </c>
      <c r="F39" s="57">
        <v>227413</v>
      </c>
      <c r="G39" s="57"/>
      <c r="H39" s="58"/>
      <c r="I39" s="58"/>
    </row>
    <row r="40" spans="1:9" ht="18" customHeight="1">
      <c r="A40" s="72"/>
      <c r="B40" s="55"/>
      <c r="C40" s="55" t="s">
        <v>141</v>
      </c>
      <c r="D40" s="56" t="s">
        <v>142</v>
      </c>
      <c r="E40" s="57">
        <f>F40</f>
        <v>147676</v>
      </c>
      <c r="F40" s="57">
        <v>147676</v>
      </c>
      <c r="G40" s="57"/>
      <c r="H40" s="58"/>
      <c r="I40" s="58"/>
    </row>
    <row r="41" spans="1:9" ht="18" customHeight="1">
      <c r="A41" s="72"/>
      <c r="B41" s="55"/>
      <c r="C41" s="55" t="s">
        <v>143</v>
      </c>
      <c r="D41" s="56" t="s">
        <v>144</v>
      </c>
      <c r="E41" s="57">
        <f>F41</f>
        <v>5000</v>
      </c>
      <c r="F41" s="57">
        <v>5000</v>
      </c>
      <c r="G41" s="57"/>
      <c r="H41" s="58"/>
      <c r="I41" s="58"/>
    </row>
    <row r="42" spans="1:9" ht="18" customHeight="1">
      <c r="A42" s="72"/>
      <c r="B42" s="55"/>
      <c r="C42" s="55" t="s">
        <v>110</v>
      </c>
      <c r="D42" s="56" t="s">
        <v>111</v>
      </c>
      <c r="E42" s="57">
        <f>F42</f>
        <v>310</v>
      </c>
      <c r="F42" s="57">
        <v>310</v>
      </c>
      <c r="G42" s="57"/>
      <c r="H42" s="58"/>
      <c r="I42" s="58"/>
    </row>
    <row r="43" spans="1:9" ht="18" customHeight="1">
      <c r="A43" s="72"/>
      <c r="B43" s="55"/>
      <c r="C43" s="55" t="s">
        <v>132</v>
      </c>
      <c r="D43" s="56" t="s">
        <v>145</v>
      </c>
      <c r="E43" s="57">
        <f>F43</f>
        <v>5000</v>
      </c>
      <c r="F43" s="57">
        <v>5000</v>
      </c>
      <c r="G43" s="57"/>
      <c r="H43" s="58"/>
      <c r="I43" s="58"/>
    </row>
    <row r="44" spans="1:9" ht="18" customHeight="1">
      <c r="A44" s="72"/>
      <c r="B44" s="55"/>
      <c r="C44" s="55">
        <v>2680</v>
      </c>
      <c r="D44" s="56" t="s">
        <v>146</v>
      </c>
      <c r="E44" s="57">
        <f>F44</f>
        <v>1900</v>
      </c>
      <c r="F44" s="57">
        <v>1900</v>
      </c>
      <c r="G44" s="57"/>
      <c r="H44" s="58"/>
      <c r="I44" s="58"/>
    </row>
    <row r="45" spans="1:9" ht="45.75" customHeight="1">
      <c r="A45" s="77"/>
      <c r="B45" s="52">
        <v>75616</v>
      </c>
      <c r="C45" s="52"/>
      <c r="D45" s="53" t="s">
        <v>147</v>
      </c>
      <c r="E45" s="54">
        <f>SUM(E46:E55)</f>
        <v>3382014</v>
      </c>
      <c r="F45" s="54">
        <f>SUM(F46:F55)</f>
        <v>3382014</v>
      </c>
      <c r="G45" s="54">
        <f>SUM(G46:G55)</f>
        <v>0</v>
      </c>
      <c r="H45" s="54">
        <f>SUM(H46:H55)</f>
        <v>0</v>
      </c>
      <c r="I45" s="54">
        <f>SUM(I46:I55)</f>
        <v>0</v>
      </c>
    </row>
    <row r="46" spans="1:9" ht="18" customHeight="1">
      <c r="A46" s="72"/>
      <c r="B46" s="55"/>
      <c r="C46" s="55" t="s">
        <v>135</v>
      </c>
      <c r="D46" s="56" t="s">
        <v>136</v>
      </c>
      <c r="E46" s="57">
        <f>F46</f>
        <v>1796000</v>
      </c>
      <c r="F46" s="57">
        <f>1300000+496000</f>
        <v>1796000</v>
      </c>
      <c r="G46" s="57"/>
      <c r="H46" s="58"/>
      <c r="I46" s="58"/>
    </row>
    <row r="47" spans="1:9" ht="18" customHeight="1">
      <c r="A47" s="72"/>
      <c r="B47" s="55"/>
      <c r="C47" s="55" t="s">
        <v>137</v>
      </c>
      <c r="D47" s="56" t="s">
        <v>138</v>
      </c>
      <c r="E47" s="57">
        <f>F47</f>
        <v>552204</v>
      </c>
      <c r="F47" s="57">
        <v>552204</v>
      </c>
      <c r="G47" s="57"/>
      <c r="H47" s="58"/>
      <c r="I47" s="58"/>
    </row>
    <row r="48" spans="1:9" ht="18" customHeight="1">
      <c r="A48" s="72"/>
      <c r="B48" s="55"/>
      <c r="C48" s="55" t="s">
        <v>139</v>
      </c>
      <c r="D48" s="56" t="s">
        <v>148</v>
      </c>
      <c r="E48" s="57">
        <f>F48</f>
        <v>2800</v>
      </c>
      <c r="F48" s="57">
        <v>2800</v>
      </c>
      <c r="G48" s="57"/>
      <c r="H48" s="58"/>
      <c r="I48" s="58"/>
    </row>
    <row r="49" spans="1:9" ht="18" customHeight="1">
      <c r="A49" s="72"/>
      <c r="B49" s="55"/>
      <c r="C49" s="55" t="s">
        <v>141</v>
      </c>
      <c r="D49" s="56" t="s">
        <v>142</v>
      </c>
      <c r="E49" s="57">
        <f>F49</f>
        <v>620110</v>
      </c>
      <c r="F49" s="57">
        <v>620110</v>
      </c>
      <c r="G49" s="57"/>
      <c r="H49" s="58"/>
      <c r="I49" s="58"/>
    </row>
    <row r="50" spans="1:9" ht="18" customHeight="1">
      <c r="A50" s="72"/>
      <c r="B50" s="55"/>
      <c r="C50" s="55" t="s">
        <v>149</v>
      </c>
      <c r="D50" s="56" t="s">
        <v>150</v>
      </c>
      <c r="E50" s="57">
        <f>F50</f>
        <v>40000</v>
      </c>
      <c r="F50" s="57">
        <v>40000</v>
      </c>
      <c r="G50" s="57"/>
      <c r="H50" s="58"/>
      <c r="I50" s="58"/>
    </row>
    <row r="51" spans="1:9" ht="18" customHeight="1">
      <c r="A51" s="72"/>
      <c r="B51" s="55"/>
      <c r="C51" s="55" t="s">
        <v>151</v>
      </c>
      <c r="D51" s="56" t="s">
        <v>152</v>
      </c>
      <c r="E51" s="57">
        <f>F51</f>
        <v>15000</v>
      </c>
      <c r="F51" s="57">
        <v>15000</v>
      </c>
      <c r="G51" s="57"/>
      <c r="H51" s="58"/>
      <c r="I51" s="58"/>
    </row>
    <row r="52" spans="1:9" ht="18" customHeight="1">
      <c r="A52" s="72"/>
      <c r="B52" s="55"/>
      <c r="C52" s="55" t="s">
        <v>153</v>
      </c>
      <c r="D52" s="56" t="s">
        <v>154</v>
      </c>
      <c r="E52" s="57">
        <f>F52</f>
        <v>10000</v>
      </c>
      <c r="F52" s="57">
        <v>10000</v>
      </c>
      <c r="G52" s="57"/>
      <c r="H52" s="58"/>
      <c r="I52" s="58"/>
    </row>
    <row r="53" spans="1:9" ht="18" customHeight="1">
      <c r="A53" s="55"/>
      <c r="B53" s="55"/>
      <c r="C53" s="55" t="s">
        <v>143</v>
      </c>
      <c r="D53" s="56" t="s">
        <v>144</v>
      </c>
      <c r="E53" s="57">
        <f>F53</f>
        <v>310000</v>
      </c>
      <c r="F53" s="57">
        <v>310000</v>
      </c>
      <c r="G53" s="57"/>
      <c r="H53" s="58"/>
      <c r="I53" s="58"/>
    </row>
    <row r="54" spans="1:9" ht="18" customHeight="1">
      <c r="A54" s="55"/>
      <c r="B54" s="55"/>
      <c r="C54" s="55" t="s">
        <v>110</v>
      </c>
      <c r="D54" s="56" t="s">
        <v>155</v>
      </c>
      <c r="E54" s="57">
        <f>F54</f>
        <v>10900</v>
      </c>
      <c r="F54" s="57">
        <v>10900</v>
      </c>
      <c r="G54" s="57"/>
      <c r="H54" s="58"/>
      <c r="I54" s="58"/>
    </row>
    <row r="55" spans="1:9" ht="18" customHeight="1">
      <c r="A55" s="55"/>
      <c r="B55" s="55"/>
      <c r="C55" s="55" t="s">
        <v>132</v>
      </c>
      <c r="D55" s="56" t="s">
        <v>145</v>
      </c>
      <c r="E55" s="57">
        <f>F55</f>
        <v>25000</v>
      </c>
      <c r="F55" s="57">
        <v>25000</v>
      </c>
      <c r="G55" s="57"/>
      <c r="H55" s="58"/>
      <c r="I55" s="58"/>
    </row>
    <row r="56" spans="1:9" ht="18" customHeight="1">
      <c r="A56" s="52"/>
      <c r="B56" s="52">
        <v>75618</v>
      </c>
      <c r="C56" s="52"/>
      <c r="D56" s="53" t="s">
        <v>156</v>
      </c>
      <c r="E56" s="54">
        <f>SUM(E57:E60)</f>
        <v>477500</v>
      </c>
      <c r="F56" s="54">
        <f>SUM(F57:F60)</f>
        <v>477500</v>
      </c>
      <c r="G56" s="54">
        <f>SUM(G57:G60)</f>
        <v>0</v>
      </c>
      <c r="H56" s="54">
        <f>SUM(H57:H60)</f>
        <v>0</v>
      </c>
      <c r="I56" s="54">
        <f>SUM(I57:I60)</f>
        <v>0</v>
      </c>
    </row>
    <row r="57" spans="1:9" ht="18" customHeight="1">
      <c r="A57" s="55"/>
      <c r="B57" s="55"/>
      <c r="C57" s="55" t="s">
        <v>157</v>
      </c>
      <c r="D57" s="56" t="s">
        <v>158</v>
      </c>
      <c r="E57" s="57">
        <f>F57</f>
        <v>90000</v>
      </c>
      <c r="F57" s="57">
        <v>90000</v>
      </c>
      <c r="G57" s="57"/>
      <c r="H57" s="58"/>
      <c r="I57" s="58"/>
    </row>
    <row r="58" spans="1:9" ht="18" customHeight="1">
      <c r="A58" s="55"/>
      <c r="B58" s="55"/>
      <c r="C58" s="55" t="s">
        <v>159</v>
      </c>
      <c r="D58" s="56" t="s">
        <v>160</v>
      </c>
      <c r="E58" s="57">
        <f>F58</f>
        <v>280000</v>
      </c>
      <c r="F58" s="57">
        <v>280000</v>
      </c>
      <c r="G58" s="57"/>
      <c r="H58" s="58"/>
      <c r="I58" s="58"/>
    </row>
    <row r="59" spans="1:9" ht="18" customHeight="1">
      <c r="A59" s="55"/>
      <c r="B59" s="55"/>
      <c r="C59" s="55" t="s">
        <v>161</v>
      </c>
      <c r="D59" s="56" t="s">
        <v>162</v>
      </c>
      <c r="E59" s="57">
        <f>F59</f>
        <v>107000</v>
      </c>
      <c r="F59" s="57">
        <f>70000+37000</f>
        <v>107000</v>
      </c>
      <c r="G59" s="57"/>
      <c r="H59" s="58"/>
      <c r="I59" s="58"/>
    </row>
    <row r="60" spans="1:9" ht="18" customHeight="1">
      <c r="A60" s="55"/>
      <c r="B60" s="55"/>
      <c r="C60" s="55" t="s">
        <v>110</v>
      </c>
      <c r="D60" s="56" t="s">
        <v>163</v>
      </c>
      <c r="E60" s="57">
        <f>F60</f>
        <v>500</v>
      </c>
      <c r="F60" s="57">
        <v>500</v>
      </c>
      <c r="G60" s="57"/>
      <c r="H60" s="58"/>
      <c r="I60" s="58"/>
    </row>
    <row r="61" spans="1:9" s="79" customFormat="1" ht="18.75" customHeight="1">
      <c r="A61" s="52"/>
      <c r="B61" s="52">
        <v>75619</v>
      </c>
      <c r="C61" s="52"/>
      <c r="D61" s="53" t="s">
        <v>164</v>
      </c>
      <c r="E61" s="54">
        <f>F61</f>
        <v>750</v>
      </c>
      <c r="F61" s="54">
        <f>F62</f>
        <v>750</v>
      </c>
      <c r="G61" s="54"/>
      <c r="H61" s="78"/>
      <c r="I61" s="78"/>
    </row>
    <row r="62" spans="1:9" ht="18" customHeight="1">
      <c r="A62" s="55"/>
      <c r="B62" s="55"/>
      <c r="C62" s="55" t="s">
        <v>165</v>
      </c>
      <c r="D62" s="56" t="s">
        <v>166</v>
      </c>
      <c r="E62" s="57">
        <f>F62</f>
        <v>750</v>
      </c>
      <c r="F62" s="57">
        <v>750</v>
      </c>
      <c r="G62" s="57"/>
      <c r="H62" s="58"/>
      <c r="I62" s="58"/>
    </row>
    <row r="63" spans="1:9" ht="18.75" customHeight="1">
      <c r="A63" s="52"/>
      <c r="B63" s="52">
        <v>75621</v>
      </c>
      <c r="C63" s="52"/>
      <c r="D63" s="53" t="s">
        <v>167</v>
      </c>
      <c r="E63" s="54">
        <f>E64+E65</f>
        <v>8389773</v>
      </c>
      <c r="F63" s="54">
        <f>F64+F65</f>
        <v>8389773</v>
      </c>
      <c r="G63" s="54">
        <f>G64+G65</f>
        <v>0</v>
      </c>
      <c r="H63" s="54">
        <f>H64+H65</f>
        <v>0</v>
      </c>
      <c r="I63" s="54">
        <f>I64+I65</f>
        <v>0</v>
      </c>
    </row>
    <row r="64" spans="1:9" ht="18" customHeight="1">
      <c r="A64" s="55"/>
      <c r="B64" s="55"/>
      <c r="C64" s="55" t="s">
        <v>168</v>
      </c>
      <c r="D64" s="56" t="s">
        <v>169</v>
      </c>
      <c r="E64" s="57">
        <f>F64</f>
        <v>8089773</v>
      </c>
      <c r="F64" s="57">
        <v>8089773</v>
      </c>
      <c r="G64" s="57"/>
      <c r="H64" s="58"/>
      <c r="I64" s="58"/>
    </row>
    <row r="65" spans="1:9" ht="18" customHeight="1">
      <c r="A65" s="55"/>
      <c r="B65" s="55"/>
      <c r="C65" s="55" t="s">
        <v>170</v>
      </c>
      <c r="D65" s="56" t="s">
        <v>171</v>
      </c>
      <c r="E65" s="57">
        <f>F65</f>
        <v>300000</v>
      </c>
      <c r="F65" s="57">
        <v>300000</v>
      </c>
      <c r="G65" s="57"/>
      <c r="H65" s="58"/>
      <c r="I65" s="58"/>
    </row>
    <row r="66" spans="1:9" ht="18.75" customHeight="1">
      <c r="A66" s="52"/>
      <c r="B66" s="52">
        <v>75624</v>
      </c>
      <c r="C66" s="52"/>
      <c r="D66" s="53" t="s">
        <v>172</v>
      </c>
      <c r="E66" s="57">
        <f>F66</f>
        <v>285</v>
      </c>
      <c r="F66" s="54">
        <f>F67</f>
        <v>285</v>
      </c>
      <c r="G66" s="54"/>
      <c r="H66" s="58"/>
      <c r="I66" s="58"/>
    </row>
    <row r="67" spans="1:9" ht="18" customHeight="1">
      <c r="A67" s="55"/>
      <c r="B67" s="55"/>
      <c r="C67" s="55" t="s">
        <v>173</v>
      </c>
      <c r="D67" s="56" t="s">
        <v>174</v>
      </c>
      <c r="E67" s="57">
        <f>F67</f>
        <v>285</v>
      </c>
      <c r="F67" s="57">
        <v>285</v>
      </c>
      <c r="G67" s="57"/>
      <c r="H67" s="58"/>
      <c r="I67" s="58"/>
    </row>
    <row r="68" spans="1:9" ht="18.75" customHeight="1">
      <c r="A68" s="49">
        <v>758</v>
      </c>
      <c r="B68" s="49"/>
      <c r="C68" s="49"/>
      <c r="D68" s="50" t="s">
        <v>175</v>
      </c>
      <c r="E68" s="51">
        <f>E69+E71+E73</f>
        <v>13366281</v>
      </c>
      <c r="F68" s="51">
        <f>F69+F71+F73</f>
        <v>13366281</v>
      </c>
      <c r="G68" s="51">
        <f>G69+G71+G73</f>
        <v>0</v>
      </c>
      <c r="H68" s="51">
        <f>H69+H71+H73</f>
        <v>0</v>
      </c>
      <c r="I68" s="51">
        <f>I69+I71+I73</f>
        <v>0</v>
      </c>
    </row>
    <row r="69" spans="1:9" ht="18" customHeight="1">
      <c r="A69" s="52"/>
      <c r="B69" s="52">
        <v>75801</v>
      </c>
      <c r="C69" s="52"/>
      <c r="D69" s="53" t="s">
        <v>176</v>
      </c>
      <c r="E69" s="54">
        <f>E70</f>
        <v>10570651</v>
      </c>
      <c r="F69" s="54">
        <f>F70</f>
        <v>10570651</v>
      </c>
      <c r="G69" s="54"/>
      <c r="H69" s="54">
        <f>H70</f>
        <v>0</v>
      </c>
      <c r="I69" s="54"/>
    </row>
    <row r="70" spans="1:9" ht="18" customHeight="1">
      <c r="A70" s="52"/>
      <c r="B70" s="55"/>
      <c r="C70" s="55">
        <v>2920</v>
      </c>
      <c r="D70" s="56" t="s">
        <v>177</v>
      </c>
      <c r="E70" s="57">
        <f>F70</f>
        <v>10570651</v>
      </c>
      <c r="F70" s="57">
        <v>10570651</v>
      </c>
      <c r="G70" s="57"/>
      <c r="H70" s="58"/>
      <c r="I70" s="58"/>
    </row>
    <row r="71" spans="1:9" ht="18.75" customHeight="1">
      <c r="A71" s="52"/>
      <c r="B71" s="52">
        <v>75807</v>
      </c>
      <c r="C71" s="52"/>
      <c r="D71" s="53" t="s">
        <v>178</v>
      </c>
      <c r="E71" s="54">
        <f>E72</f>
        <v>2451510</v>
      </c>
      <c r="F71" s="54">
        <f>F72</f>
        <v>2451510</v>
      </c>
      <c r="G71" s="54">
        <f>G72</f>
        <v>0</v>
      </c>
      <c r="H71" s="54">
        <f>H72</f>
        <v>0</v>
      </c>
      <c r="I71" s="54">
        <f>I72</f>
        <v>0</v>
      </c>
    </row>
    <row r="72" spans="1:9" ht="18" customHeight="1">
      <c r="A72" s="52"/>
      <c r="B72" s="55"/>
      <c r="C72" s="55">
        <v>2920</v>
      </c>
      <c r="D72" s="56" t="s">
        <v>177</v>
      </c>
      <c r="E72" s="57">
        <f>F72</f>
        <v>2451510</v>
      </c>
      <c r="F72" s="57">
        <v>2451510</v>
      </c>
      <c r="G72" s="57"/>
      <c r="H72" s="58"/>
      <c r="I72" s="58"/>
    </row>
    <row r="73" spans="1:9" ht="18.75" customHeight="1">
      <c r="A73" s="52"/>
      <c r="B73" s="52">
        <v>75831</v>
      </c>
      <c r="C73" s="52"/>
      <c r="D73" s="53" t="s">
        <v>179</v>
      </c>
      <c r="E73" s="54">
        <f>E74</f>
        <v>344120</v>
      </c>
      <c r="F73" s="54">
        <f>F74</f>
        <v>344120</v>
      </c>
      <c r="G73" s="54">
        <f>G74</f>
        <v>0</v>
      </c>
      <c r="H73" s="54">
        <f>H74</f>
        <v>0</v>
      </c>
      <c r="I73" s="54">
        <f>I74</f>
        <v>0</v>
      </c>
    </row>
    <row r="74" spans="1:9" ht="18" customHeight="1">
      <c r="A74" s="52"/>
      <c r="B74" s="55"/>
      <c r="C74" s="55">
        <v>2920</v>
      </c>
      <c r="D74" s="56" t="s">
        <v>177</v>
      </c>
      <c r="E74" s="57">
        <f>F74</f>
        <v>344120</v>
      </c>
      <c r="F74" s="57">
        <v>344120</v>
      </c>
      <c r="G74" s="57"/>
      <c r="H74" s="58"/>
      <c r="I74" s="58"/>
    </row>
    <row r="75" spans="1:10" ht="18.75" customHeight="1">
      <c r="A75" s="49">
        <v>801</v>
      </c>
      <c r="B75" s="49"/>
      <c r="C75" s="49"/>
      <c r="D75" s="50" t="s">
        <v>180</v>
      </c>
      <c r="E75" s="51">
        <f>E76+E88+E95+E82+E97</f>
        <v>2390275.46</v>
      </c>
      <c r="F75" s="51">
        <f>F76+F88+F95+F82+F97</f>
        <v>2390275.46</v>
      </c>
      <c r="G75" s="80">
        <f>G76+G88+G95+G82+G97</f>
        <v>668554.4600000001</v>
      </c>
      <c r="H75" s="51">
        <f>H76+H88+H95+H82+H97</f>
        <v>0</v>
      </c>
      <c r="I75" s="51">
        <f>I76+I88+I95+I82+I97</f>
        <v>0</v>
      </c>
      <c r="J75" s="81"/>
    </row>
    <row r="76" spans="1:9" ht="18.75" customHeight="1">
      <c r="A76" s="52"/>
      <c r="B76" s="52">
        <v>80101</v>
      </c>
      <c r="C76" s="52"/>
      <c r="D76" s="53" t="s">
        <v>181</v>
      </c>
      <c r="E76" s="54">
        <f>SUM(E77:E81)</f>
        <v>33217</v>
      </c>
      <c r="F76" s="54">
        <f>SUM(F77:F81)</f>
        <v>33217</v>
      </c>
      <c r="G76" s="54">
        <f>SUM(G77:G81)</f>
        <v>0</v>
      </c>
      <c r="H76" s="54">
        <f>SUM(H77:H81)</f>
        <v>0</v>
      </c>
      <c r="I76" s="54">
        <f>SUM(I77:I81)</f>
        <v>0</v>
      </c>
    </row>
    <row r="77" spans="1:9" ht="18" customHeight="1">
      <c r="A77" s="52"/>
      <c r="B77" s="52"/>
      <c r="C77" s="55" t="s">
        <v>110</v>
      </c>
      <c r="D77" s="56" t="s">
        <v>182</v>
      </c>
      <c r="E77" s="57">
        <f>F77</f>
        <v>26</v>
      </c>
      <c r="F77" s="57">
        <f>'zał 12'!H6</f>
        <v>26</v>
      </c>
      <c r="G77" s="82"/>
      <c r="H77" s="82"/>
      <c r="I77" s="54"/>
    </row>
    <row r="78" spans="1:9" ht="45.75" customHeight="1">
      <c r="A78" s="72"/>
      <c r="B78" s="55"/>
      <c r="C78" s="55" t="s">
        <v>96</v>
      </c>
      <c r="D78" s="56" t="s">
        <v>112</v>
      </c>
      <c r="E78" s="57">
        <f>F78</f>
        <v>21960</v>
      </c>
      <c r="F78" s="57">
        <f>'zał 12'!H7</f>
        <v>21960</v>
      </c>
      <c r="G78" s="57"/>
      <c r="H78" s="57"/>
      <c r="I78" s="57"/>
    </row>
    <row r="79" spans="1:9" ht="18" customHeight="1">
      <c r="A79" s="55"/>
      <c r="B79" s="55"/>
      <c r="C79" s="83" t="s">
        <v>125</v>
      </c>
      <c r="D79" s="56" t="s">
        <v>126</v>
      </c>
      <c r="E79" s="57">
        <f>F79</f>
        <v>0</v>
      </c>
      <c r="F79" s="57">
        <f>'zał 12'!H8</f>
        <v>0</v>
      </c>
      <c r="G79" s="57"/>
      <c r="H79" s="57"/>
      <c r="I79" s="57"/>
    </row>
    <row r="80" spans="1:9" ht="18" customHeight="1">
      <c r="A80" s="55"/>
      <c r="B80" s="55"/>
      <c r="C80" s="83" t="s">
        <v>117</v>
      </c>
      <c r="D80" s="56" t="s">
        <v>118</v>
      </c>
      <c r="E80" s="57">
        <f>F80</f>
        <v>1300</v>
      </c>
      <c r="F80" s="57">
        <f>'zał 12'!H9</f>
        <v>1300</v>
      </c>
      <c r="G80" s="57"/>
      <c r="H80" s="57"/>
      <c r="I80" s="57"/>
    </row>
    <row r="81" spans="1:9" ht="18" customHeight="1">
      <c r="A81" s="84"/>
      <c r="B81" s="85"/>
      <c r="C81" s="85" t="s">
        <v>183</v>
      </c>
      <c r="D81" s="86" t="s">
        <v>184</v>
      </c>
      <c r="E81" s="57">
        <f>F81</f>
        <v>9931</v>
      </c>
      <c r="F81" s="57">
        <f>'zał 12'!H10</f>
        <v>9931</v>
      </c>
      <c r="G81" s="57"/>
      <c r="H81" s="57"/>
      <c r="I81" s="57"/>
    </row>
    <row r="82" spans="1:9" ht="18.75" customHeight="1">
      <c r="A82" s="52" t="s">
        <v>79</v>
      </c>
      <c r="B82" s="52" t="s">
        <v>185</v>
      </c>
      <c r="C82" s="52"/>
      <c r="D82" s="53" t="s">
        <v>186</v>
      </c>
      <c r="E82" s="54">
        <f>SUM(E83:E87)</f>
        <v>840803</v>
      </c>
      <c r="F82" s="54">
        <f>SUM(F83:F87)</f>
        <v>840803</v>
      </c>
      <c r="G82" s="54">
        <f>SUM(G83:G85)</f>
        <v>0</v>
      </c>
      <c r="H82" s="54">
        <f>SUM(H83:H85)</f>
        <v>0</v>
      </c>
      <c r="I82" s="54">
        <f>SUM(I83:I85)</f>
        <v>0</v>
      </c>
    </row>
    <row r="83" spans="1:9" ht="45.75" customHeight="1">
      <c r="A83" s="55"/>
      <c r="B83" s="55"/>
      <c r="C83" s="55" t="s">
        <v>96</v>
      </c>
      <c r="D83" s="56" t="s">
        <v>187</v>
      </c>
      <c r="E83" s="57">
        <f>F83</f>
        <v>12696</v>
      </c>
      <c r="F83" s="57">
        <f>'zał 13'!G6</f>
        <v>12696</v>
      </c>
      <c r="G83" s="57"/>
      <c r="H83" s="57"/>
      <c r="I83" s="57"/>
    </row>
    <row r="84" spans="1:9" ht="18" customHeight="1">
      <c r="A84" s="55"/>
      <c r="B84" s="55"/>
      <c r="C84" s="55" t="s">
        <v>125</v>
      </c>
      <c r="D84" s="56" t="s">
        <v>126</v>
      </c>
      <c r="E84" s="57">
        <f>F84</f>
        <v>735350</v>
      </c>
      <c r="F84" s="57">
        <f>'zał 13'!G7</f>
        <v>735350</v>
      </c>
      <c r="G84" s="57"/>
      <c r="H84" s="57"/>
      <c r="I84" s="57"/>
    </row>
    <row r="85" spans="1:9" ht="18" customHeight="1">
      <c r="A85" s="55"/>
      <c r="B85" s="55"/>
      <c r="C85" s="55" t="s">
        <v>117</v>
      </c>
      <c r="D85" s="56" t="s">
        <v>118</v>
      </c>
      <c r="E85" s="57">
        <f>F85</f>
        <v>1800</v>
      </c>
      <c r="F85" s="57">
        <f>'zał 13'!G8</f>
        <v>1800</v>
      </c>
      <c r="G85" s="57"/>
      <c r="H85" s="57"/>
      <c r="I85" s="57"/>
    </row>
    <row r="86" spans="1:9" ht="18" customHeight="1">
      <c r="A86" s="84"/>
      <c r="B86" s="85"/>
      <c r="C86" s="85" t="s">
        <v>183</v>
      </c>
      <c r="D86" s="86" t="s">
        <v>184</v>
      </c>
      <c r="E86" s="57">
        <f>F86</f>
        <v>957</v>
      </c>
      <c r="F86" s="57">
        <f>'zał 13'!G9</f>
        <v>957</v>
      </c>
      <c r="G86" s="57"/>
      <c r="H86" s="57"/>
      <c r="I86" s="57"/>
    </row>
    <row r="87" spans="1:9" ht="30.75" customHeight="1">
      <c r="A87" s="55"/>
      <c r="B87" s="55"/>
      <c r="C87" s="55" t="s">
        <v>188</v>
      </c>
      <c r="D87" s="56" t="s">
        <v>189</v>
      </c>
      <c r="E87" s="57">
        <f>F87</f>
        <v>90000</v>
      </c>
      <c r="F87" s="57">
        <v>90000</v>
      </c>
      <c r="G87" s="57"/>
      <c r="H87" s="57"/>
      <c r="I87" s="57"/>
    </row>
    <row r="88" spans="1:9" ht="18.75" customHeight="1">
      <c r="A88" s="52"/>
      <c r="B88" s="52">
        <v>80110</v>
      </c>
      <c r="C88" s="52"/>
      <c r="D88" s="53" t="s">
        <v>190</v>
      </c>
      <c r="E88" s="54">
        <f>SUM(E89:E94)</f>
        <v>26919</v>
      </c>
      <c r="F88" s="54">
        <f>SUM(F89:F94)</f>
        <v>26919</v>
      </c>
      <c r="G88" s="54">
        <f>SUM(G89:G94)</f>
        <v>0</v>
      </c>
      <c r="H88" s="54">
        <f>SUM(H89:H94)</f>
        <v>0</v>
      </c>
      <c r="I88" s="54">
        <f>SUM(I89:I94)</f>
        <v>0</v>
      </c>
    </row>
    <row r="89" spans="1:9" ht="18" customHeight="1">
      <c r="A89" s="52"/>
      <c r="B89" s="52"/>
      <c r="C89" s="55" t="s">
        <v>110</v>
      </c>
      <c r="D89" s="56" t="s">
        <v>182</v>
      </c>
      <c r="E89" s="57">
        <f>F89</f>
        <v>100</v>
      </c>
      <c r="F89" s="57">
        <f>'zał 14'!H6</f>
        <v>100</v>
      </c>
      <c r="G89" s="82"/>
      <c r="H89" s="82"/>
      <c r="I89" s="54"/>
    </row>
    <row r="90" spans="1:9" ht="45.75" customHeight="1">
      <c r="A90" s="55"/>
      <c r="B90" s="55"/>
      <c r="C90" s="55" t="s">
        <v>96</v>
      </c>
      <c r="D90" s="56" t="s">
        <v>112</v>
      </c>
      <c r="E90" s="57">
        <f>F90</f>
        <v>8450</v>
      </c>
      <c r="F90" s="57">
        <f>'zał 14'!H7</f>
        <v>8450</v>
      </c>
      <c r="G90" s="57"/>
      <c r="H90" s="57"/>
      <c r="I90" s="57"/>
    </row>
    <row r="91" spans="1:9" ht="18" customHeight="1">
      <c r="A91" s="55"/>
      <c r="B91" s="55"/>
      <c r="C91" s="55" t="s">
        <v>125</v>
      </c>
      <c r="D91" s="56" t="s">
        <v>126</v>
      </c>
      <c r="E91" s="57">
        <f>F91</f>
        <v>1110</v>
      </c>
      <c r="F91" s="57">
        <f>'zał 14'!H8</f>
        <v>1110</v>
      </c>
      <c r="G91" s="57"/>
      <c r="H91" s="57"/>
      <c r="I91" s="57"/>
    </row>
    <row r="92" spans="1:9" ht="18" customHeight="1">
      <c r="A92" s="55"/>
      <c r="B92" s="55"/>
      <c r="C92" s="55" t="s">
        <v>117</v>
      </c>
      <c r="D92" s="56" t="s">
        <v>118</v>
      </c>
      <c r="E92" s="57">
        <f>F92</f>
        <v>3515</v>
      </c>
      <c r="F92" s="57">
        <f>'zał 14'!H9</f>
        <v>3515</v>
      </c>
      <c r="G92" s="57"/>
      <c r="H92" s="58"/>
      <c r="I92" s="58"/>
    </row>
    <row r="93" spans="1:9" ht="18" customHeight="1">
      <c r="A93" s="84"/>
      <c r="B93" s="85"/>
      <c r="C93" s="85" t="s">
        <v>183</v>
      </c>
      <c r="D93" s="86" t="s">
        <v>184</v>
      </c>
      <c r="E93" s="57">
        <f>F93</f>
        <v>13666</v>
      </c>
      <c r="F93" s="57">
        <f>'zał 14'!H10</f>
        <v>13666</v>
      </c>
      <c r="G93" s="57"/>
      <c r="H93" s="58"/>
      <c r="I93" s="58"/>
    </row>
    <row r="94" spans="1:9" ht="18" customHeight="1">
      <c r="A94" s="55"/>
      <c r="B94" s="55"/>
      <c r="C94" s="55" t="s">
        <v>165</v>
      </c>
      <c r="D94" s="56" t="s">
        <v>191</v>
      </c>
      <c r="E94" s="57">
        <f>F94</f>
        <v>78</v>
      </c>
      <c r="F94" s="57">
        <f>'zał 14'!H11</f>
        <v>78</v>
      </c>
      <c r="G94" s="57"/>
      <c r="H94" s="58"/>
      <c r="I94" s="58"/>
    </row>
    <row r="95" spans="1:9" ht="18.75" customHeight="1">
      <c r="A95" s="52"/>
      <c r="B95" s="52">
        <v>80148</v>
      </c>
      <c r="C95" s="52"/>
      <c r="D95" s="53" t="s">
        <v>192</v>
      </c>
      <c r="E95" s="54">
        <f>E96</f>
        <v>820782</v>
      </c>
      <c r="F95" s="54">
        <f>F96</f>
        <v>820782</v>
      </c>
      <c r="G95" s="54">
        <f>G96</f>
        <v>0</v>
      </c>
      <c r="H95" s="54">
        <f>H96</f>
        <v>0</v>
      </c>
      <c r="I95" s="54">
        <f>I96</f>
        <v>0</v>
      </c>
    </row>
    <row r="96" spans="1:9" ht="18" customHeight="1">
      <c r="A96" s="55"/>
      <c r="B96" s="55"/>
      <c r="C96" s="55" t="s">
        <v>125</v>
      </c>
      <c r="D96" s="56" t="s">
        <v>126</v>
      </c>
      <c r="E96" s="57">
        <f>F96</f>
        <v>820782</v>
      </c>
      <c r="F96" s="57">
        <f>'zał 12'!H12+'zał 13'!G11+'zał 14'!H13</f>
        <v>820782</v>
      </c>
      <c r="G96" s="57"/>
      <c r="H96" s="58"/>
      <c r="I96" s="58"/>
    </row>
    <row r="97" spans="1:9" ht="18" customHeight="1">
      <c r="A97" s="87"/>
      <c r="B97" s="87">
        <v>80195</v>
      </c>
      <c r="C97" s="87"/>
      <c r="D97" s="88" t="s">
        <v>95</v>
      </c>
      <c r="E97" s="89">
        <f>E98+E99</f>
        <v>668554.4600000001</v>
      </c>
      <c r="F97" s="89">
        <f>F98+F99</f>
        <v>668554.4600000001</v>
      </c>
      <c r="G97" s="89">
        <f>G98+G99</f>
        <v>668554.4600000001</v>
      </c>
      <c r="H97" s="90">
        <f>H98+H99</f>
        <v>0</v>
      </c>
      <c r="I97" s="90">
        <f>I98+I99</f>
        <v>0</v>
      </c>
    </row>
    <row r="98" spans="1:9" ht="57.75">
      <c r="A98" s="84"/>
      <c r="B98" s="85"/>
      <c r="C98" s="91" t="s">
        <v>193</v>
      </c>
      <c r="D98" s="92" t="s">
        <v>100</v>
      </c>
      <c r="E98" s="93">
        <f>F98</f>
        <v>568271.29</v>
      </c>
      <c r="F98" s="94">
        <f>G98</f>
        <v>568271.29</v>
      </c>
      <c r="G98" s="95">
        <f>263710.5+304560.79</f>
        <v>568271.29</v>
      </c>
      <c r="H98" s="93"/>
      <c r="I98" s="93"/>
    </row>
    <row r="99" spans="1:9" ht="57.75">
      <c r="A99" s="84"/>
      <c r="B99" s="85"/>
      <c r="C99" s="96" t="s">
        <v>194</v>
      </c>
      <c r="D99" s="97" t="s">
        <v>100</v>
      </c>
      <c r="E99" s="93">
        <f>F99</f>
        <v>100283.17</v>
      </c>
      <c r="F99" s="94">
        <f>G99</f>
        <v>100283.17</v>
      </c>
      <c r="G99" s="93">
        <f>53746.02+46537.15</f>
        <v>100283.17</v>
      </c>
      <c r="H99" s="93"/>
      <c r="I99" s="93"/>
    </row>
    <row r="100" spans="1:10" ht="18.75" customHeight="1">
      <c r="A100" s="49">
        <v>852</v>
      </c>
      <c r="B100" s="49"/>
      <c r="C100" s="49"/>
      <c r="D100" s="50" t="s">
        <v>195</v>
      </c>
      <c r="E100" s="51">
        <f>E101+E105+E109+E114+E103+E107+E116</f>
        <v>1462600</v>
      </c>
      <c r="F100" s="51">
        <f>F101+F105+F109+F114+F103+F107+F116</f>
        <v>1462600</v>
      </c>
      <c r="G100" s="51">
        <f>G101+G105+G109+G114+G103+G107</f>
        <v>0</v>
      </c>
      <c r="H100" s="51">
        <f>H101+H105+H109+H114+H103+H107</f>
        <v>0</v>
      </c>
      <c r="I100" s="51">
        <f>I101+I105+I109+I114+I103+I107</f>
        <v>0</v>
      </c>
      <c r="J100" s="81"/>
    </row>
    <row r="101" spans="1:9" ht="30.75" customHeight="1">
      <c r="A101" s="52"/>
      <c r="B101" s="52">
        <v>85212</v>
      </c>
      <c r="C101" s="52"/>
      <c r="D101" s="53" t="s">
        <v>196</v>
      </c>
      <c r="E101" s="54">
        <f>E102</f>
        <v>35000</v>
      </c>
      <c r="F101" s="54">
        <f>F102</f>
        <v>35000</v>
      </c>
      <c r="G101" s="54"/>
      <c r="H101" s="54">
        <f>H102</f>
        <v>0</v>
      </c>
      <c r="I101" s="54"/>
    </row>
    <row r="102" spans="1:9" ht="30.75" customHeight="1">
      <c r="A102" s="52"/>
      <c r="B102" s="55"/>
      <c r="C102" s="55">
        <v>2360</v>
      </c>
      <c r="D102" s="56" t="s">
        <v>197</v>
      </c>
      <c r="E102" s="57">
        <f>F102</f>
        <v>35000</v>
      </c>
      <c r="F102" s="57">
        <v>35000</v>
      </c>
      <c r="G102" s="57"/>
      <c r="H102" s="58"/>
      <c r="I102" s="58"/>
    </row>
    <row r="103" spans="1:9" s="79" customFormat="1" ht="30.75" customHeight="1">
      <c r="A103" s="68"/>
      <c r="B103" s="68">
        <v>85213</v>
      </c>
      <c r="C103" s="68"/>
      <c r="D103" s="69" t="s">
        <v>198</v>
      </c>
      <c r="E103" s="62">
        <f>E104</f>
        <v>54000</v>
      </c>
      <c r="F103" s="62">
        <f>F104</f>
        <v>54000</v>
      </c>
      <c r="G103" s="62"/>
      <c r="H103" s="98"/>
      <c r="I103" s="98"/>
    </row>
    <row r="104" spans="1:9" ht="21" customHeight="1">
      <c r="A104" s="52"/>
      <c r="B104" s="55"/>
      <c r="C104" s="55">
        <v>2030</v>
      </c>
      <c r="D104" s="56" t="s">
        <v>199</v>
      </c>
      <c r="E104" s="57">
        <f>F104</f>
        <v>54000</v>
      </c>
      <c r="F104" s="57">
        <v>54000</v>
      </c>
      <c r="G104" s="57"/>
      <c r="H104" s="58"/>
      <c r="I104" s="58"/>
    </row>
    <row r="105" spans="1:9" ht="18.75" customHeight="1">
      <c r="A105" s="52"/>
      <c r="B105" s="52">
        <v>85214</v>
      </c>
      <c r="C105" s="52"/>
      <c r="D105" s="53" t="s">
        <v>200</v>
      </c>
      <c r="E105" s="54">
        <f>E106</f>
        <v>384000</v>
      </c>
      <c r="F105" s="54">
        <f>F106</f>
        <v>384000</v>
      </c>
      <c r="G105" s="54"/>
      <c r="H105" s="54">
        <f>H106</f>
        <v>0</v>
      </c>
      <c r="I105" s="54"/>
    </row>
    <row r="106" spans="1:9" ht="18" customHeight="1">
      <c r="A106" s="52"/>
      <c r="B106" s="55"/>
      <c r="C106" s="55">
        <v>2030</v>
      </c>
      <c r="D106" s="56" t="s">
        <v>199</v>
      </c>
      <c r="E106" s="57">
        <f>F106</f>
        <v>384000</v>
      </c>
      <c r="F106" s="57">
        <v>384000</v>
      </c>
      <c r="G106" s="57"/>
      <c r="H106" s="58"/>
      <c r="I106" s="58"/>
    </row>
    <row r="107" spans="1:9" ht="18.75" customHeight="1">
      <c r="A107" s="52"/>
      <c r="B107" s="68">
        <v>85216</v>
      </c>
      <c r="C107" s="68"/>
      <c r="D107" s="53" t="s">
        <v>201</v>
      </c>
      <c r="E107" s="54">
        <f>E108</f>
        <v>414000</v>
      </c>
      <c r="F107" s="54">
        <f>F108</f>
        <v>414000</v>
      </c>
      <c r="G107" s="54"/>
      <c r="H107" s="58"/>
      <c r="I107" s="58"/>
    </row>
    <row r="108" spans="1:9" ht="18" customHeight="1">
      <c r="A108" s="52"/>
      <c r="B108" s="55"/>
      <c r="C108" s="55">
        <v>2030</v>
      </c>
      <c r="D108" s="56" t="s">
        <v>199</v>
      </c>
      <c r="E108" s="57">
        <f>F108</f>
        <v>414000</v>
      </c>
      <c r="F108" s="57">
        <v>414000</v>
      </c>
      <c r="G108" s="57"/>
      <c r="H108" s="58"/>
      <c r="I108" s="58"/>
    </row>
    <row r="109" spans="1:9" ht="18.75" customHeight="1">
      <c r="A109" s="52"/>
      <c r="B109" s="52">
        <v>85219</v>
      </c>
      <c r="C109" s="52"/>
      <c r="D109" s="53" t="s">
        <v>202</v>
      </c>
      <c r="E109" s="54">
        <f>SUM(E110:E113)</f>
        <v>323600</v>
      </c>
      <c r="F109" s="54">
        <f>SUM(F110:F113)</f>
        <v>323600</v>
      </c>
      <c r="G109" s="54"/>
      <c r="H109" s="54">
        <f>SUM(H110:H113)</f>
        <v>0</v>
      </c>
      <c r="I109" s="54"/>
    </row>
    <row r="110" spans="1:9" ht="45.75" customHeight="1">
      <c r="A110" s="55"/>
      <c r="B110" s="55"/>
      <c r="C110" s="55" t="s">
        <v>96</v>
      </c>
      <c r="D110" s="56" t="s">
        <v>187</v>
      </c>
      <c r="E110" s="57">
        <f>F110</f>
        <v>28800</v>
      </c>
      <c r="F110" s="57">
        <f>24000+4800</f>
        <v>28800</v>
      </c>
      <c r="G110" s="57"/>
      <c r="H110" s="58"/>
      <c r="I110" s="58"/>
    </row>
    <row r="111" spans="1:9" ht="18" customHeight="1">
      <c r="A111" s="55"/>
      <c r="B111" s="55"/>
      <c r="C111" s="55" t="s">
        <v>117</v>
      </c>
      <c r="D111" s="56" t="s">
        <v>118</v>
      </c>
      <c r="E111" s="57">
        <f>F111</f>
        <v>6000</v>
      </c>
      <c r="F111" s="57">
        <v>6000</v>
      </c>
      <c r="G111" s="57"/>
      <c r="H111" s="58"/>
      <c r="I111" s="58"/>
    </row>
    <row r="112" spans="1:9" ht="18" customHeight="1">
      <c r="A112" s="55"/>
      <c r="B112" s="55"/>
      <c r="C112" s="55" t="s">
        <v>165</v>
      </c>
      <c r="D112" s="56" t="s">
        <v>191</v>
      </c>
      <c r="E112" s="57">
        <f>F112</f>
        <v>800</v>
      </c>
      <c r="F112" s="57">
        <v>800</v>
      </c>
      <c r="G112" s="57"/>
      <c r="H112" s="58"/>
      <c r="I112" s="58"/>
    </row>
    <row r="113" spans="1:9" ht="18" customHeight="1">
      <c r="A113" s="55"/>
      <c r="B113" s="55"/>
      <c r="C113" s="55">
        <v>2030</v>
      </c>
      <c r="D113" s="56" t="s">
        <v>203</v>
      </c>
      <c r="E113" s="57">
        <f>F113</f>
        <v>288000</v>
      </c>
      <c r="F113" s="57">
        <v>288000</v>
      </c>
      <c r="G113" s="57"/>
      <c r="H113" s="58"/>
      <c r="I113" s="58"/>
    </row>
    <row r="114" spans="1:9" ht="30.75" customHeight="1">
      <c r="A114" s="52"/>
      <c r="B114" s="99" t="s">
        <v>204</v>
      </c>
      <c r="C114" s="52"/>
      <c r="D114" s="53" t="s">
        <v>205</v>
      </c>
      <c r="E114" s="54">
        <f>E115</f>
        <v>24000</v>
      </c>
      <c r="F114" s="54">
        <f>F115</f>
        <v>24000</v>
      </c>
      <c r="G114" s="54"/>
      <c r="H114" s="54">
        <f>H115</f>
        <v>0</v>
      </c>
      <c r="I114" s="54"/>
    </row>
    <row r="115" spans="1:9" ht="18" customHeight="1">
      <c r="A115" s="55"/>
      <c r="B115" s="55"/>
      <c r="C115" s="55" t="s">
        <v>125</v>
      </c>
      <c r="D115" s="56" t="s">
        <v>206</v>
      </c>
      <c r="E115" s="57">
        <f>F115</f>
        <v>24000</v>
      </c>
      <c r="F115" s="57">
        <v>24000</v>
      </c>
      <c r="G115" s="57"/>
      <c r="H115" s="65"/>
      <c r="I115" s="65"/>
    </row>
    <row r="116" spans="1:9" s="79" customFormat="1" ht="18.75" customHeight="1">
      <c r="A116" s="52"/>
      <c r="B116" s="52" t="s">
        <v>207</v>
      </c>
      <c r="C116" s="52"/>
      <c r="D116" s="53" t="s">
        <v>95</v>
      </c>
      <c r="E116" s="54">
        <f>E117</f>
        <v>228000</v>
      </c>
      <c r="F116" s="54">
        <f>F117</f>
        <v>228000</v>
      </c>
      <c r="G116" s="54"/>
      <c r="H116" s="62"/>
      <c r="I116" s="62"/>
    </row>
    <row r="117" spans="1:9" ht="18" customHeight="1">
      <c r="A117" s="55"/>
      <c r="B117" s="55"/>
      <c r="C117" s="55" t="s">
        <v>208</v>
      </c>
      <c r="D117" s="56" t="s">
        <v>203</v>
      </c>
      <c r="E117" s="57">
        <f>F117</f>
        <v>228000</v>
      </c>
      <c r="F117" s="57">
        <v>228000</v>
      </c>
      <c r="G117" s="57"/>
      <c r="H117" s="65"/>
      <c r="I117" s="65"/>
    </row>
    <row r="118" spans="1:9" ht="18.75" customHeight="1">
      <c r="A118" s="100" t="s">
        <v>209</v>
      </c>
      <c r="B118" s="100"/>
      <c r="C118" s="101"/>
      <c r="D118" s="102" t="s">
        <v>210</v>
      </c>
      <c r="E118" s="103">
        <f>SUM(E119)</f>
        <v>186100</v>
      </c>
      <c r="F118" s="103">
        <f>SUM(F119)</f>
        <v>186100</v>
      </c>
      <c r="G118" s="103">
        <f>SUM(G119)</f>
        <v>175800</v>
      </c>
      <c r="H118" s="103">
        <f>SUM(H119)</f>
        <v>0</v>
      </c>
      <c r="I118" s="103">
        <f>SUM(I119)</f>
        <v>0</v>
      </c>
    </row>
    <row r="119" spans="1:9" ht="18.75" customHeight="1">
      <c r="A119" s="104"/>
      <c r="B119" s="104" t="s">
        <v>211</v>
      </c>
      <c r="C119" s="91"/>
      <c r="D119" s="105" t="s">
        <v>95</v>
      </c>
      <c r="E119" s="106">
        <f>E120+E121</f>
        <v>186100</v>
      </c>
      <c r="F119" s="106">
        <f>F120+F121</f>
        <v>186100</v>
      </c>
      <c r="G119" s="106">
        <f>G120+G121</f>
        <v>175800</v>
      </c>
      <c r="H119" s="106">
        <f>H120+H121</f>
        <v>0</v>
      </c>
      <c r="I119" s="106">
        <f>I120+I121</f>
        <v>0</v>
      </c>
    </row>
    <row r="120" spans="1:9" ht="57.75">
      <c r="A120" s="104"/>
      <c r="B120" s="104"/>
      <c r="C120" s="91" t="s">
        <v>193</v>
      </c>
      <c r="D120" s="92" t="s">
        <v>100</v>
      </c>
      <c r="E120" s="57">
        <f>F120</f>
        <v>175800</v>
      </c>
      <c r="F120" s="107">
        <f>G120</f>
        <v>175800</v>
      </c>
      <c r="G120" s="107">
        <v>175800</v>
      </c>
      <c r="H120" s="65"/>
      <c r="I120" s="65"/>
    </row>
    <row r="121" spans="1:9" ht="57.75">
      <c r="A121" s="108"/>
      <c r="B121" s="108"/>
      <c r="C121" s="96" t="s">
        <v>194</v>
      </c>
      <c r="D121" s="97" t="s">
        <v>100</v>
      </c>
      <c r="E121" s="57">
        <f>F121</f>
        <v>10300</v>
      </c>
      <c r="F121" s="107">
        <v>10300</v>
      </c>
      <c r="G121" s="109">
        <f>H121+I121</f>
        <v>0</v>
      </c>
      <c r="H121" s="65"/>
      <c r="I121" s="65"/>
    </row>
    <row r="122" spans="1:9" ht="18.75" customHeight="1">
      <c r="A122" s="49">
        <v>900</v>
      </c>
      <c r="B122" s="49"/>
      <c r="C122" s="49"/>
      <c r="D122" s="50" t="s">
        <v>212</v>
      </c>
      <c r="E122" s="51">
        <f>E127+E123</f>
        <v>144500</v>
      </c>
      <c r="F122" s="51">
        <f>F127+F123</f>
        <v>144500</v>
      </c>
      <c r="G122" s="51">
        <f>G127+G123</f>
        <v>0</v>
      </c>
      <c r="H122" s="51">
        <f>H127+H123</f>
        <v>0</v>
      </c>
      <c r="I122" s="51">
        <f>I127+I123</f>
        <v>0</v>
      </c>
    </row>
    <row r="123" spans="1:9" ht="30.75" customHeight="1">
      <c r="A123" s="52"/>
      <c r="B123" s="52" t="s">
        <v>213</v>
      </c>
      <c r="C123" s="52"/>
      <c r="D123" s="110" t="s">
        <v>214</v>
      </c>
      <c r="E123" s="54">
        <f>SUM(E124:E126)</f>
        <v>141500</v>
      </c>
      <c r="F123" s="54">
        <f>SUM(F124:F126)</f>
        <v>141500</v>
      </c>
      <c r="G123" s="54">
        <f>SUM(G124:G126)</f>
        <v>0</v>
      </c>
      <c r="H123" s="54">
        <f>SUM(H124:H126)</f>
        <v>0</v>
      </c>
      <c r="I123" s="54">
        <f>SUM(I124:I126)</f>
        <v>0</v>
      </c>
    </row>
    <row r="124" spans="1:9" ht="18" customHeight="1">
      <c r="A124" s="52"/>
      <c r="B124" s="52"/>
      <c r="C124" s="55" t="s">
        <v>123</v>
      </c>
      <c r="D124" s="38" t="s">
        <v>215</v>
      </c>
      <c r="E124" s="57">
        <f>F124+H124</f>
        <v>2000</v>
      </c>
      <c r="F124" s="57">
        <f>'zał 29'!D6</f>
        <v>2000</v>
      </c>
      <c r="G124" s="57"/>
      <c r="H124" s="54"/>
      <c r="I124" s="54"/>
    </row>
    <row r="125" spans="1:9" ht="18" customHeight="1">
      <c r="A125" s="52"/>
      <c r="B125" s="52"/>
      <c r="C125" s="55" t="s">
        <v>110</v>
      </c>
      <c r="D125" s="56" t="s">
        <v>163</v>
      </c>
      <c r="E125" s="57">
        <f>F125+H125</f>
        <v>139000</v>
      </c>
      <c r="F125" s="57">
        <f>'zał 29'!D5</f>
        <v>139000</v>
      </c>
      <c r="G125" s="57"/>
      <c r="H125" s="54"/>
      <c r="I125" s="54"/>
    </row>
    <row r="126" spans="1:9" ht="18" customHeight="1">
      <c r="A126" s="52"/>
      <c r="B126" s="52"/>
      <c r="C126" s="55" t="s">
        <v>117</v>
      </c>
      <c r="D126" s="56" t="s">
        <v>118</v>
      </c>
      <c r="E126" s="57">
        <f>F126+H126</f>
        <v>500</v>
      </c>
      <c r="F126" s="57">
        <f>'zał 29'!D7</f>
        <v>500</v>
      </c>
      <c r="G126" s="57"/>
      <c r="H126" s="54"/>
      <c r="I126" s="54"/>
    </row>
    <row r="127" spans="1:9" ht="18.75" customHeight="1">
      <c r="A127" s="52"/>
      <c r="B127" s="52">
        <v>90020</v>
      </c>
      <c r="C127" s="52"/>
      <c r="D127" s="53" t="s">
        <v>216</v>
      </c>
      <c r="E127" s="54">
        <f>E128</f>
        <v>3000</v>
      </c>
      <c r="F127" s="54">
        <f>F128</f>
        <v>3000</v>
      </c>
      <c r="G127" s="54"/>
      <c r="H127" s="54">
        <f>H128</f>
        <v>0</v>
      </c>
      <c r="I127" s="54"/>
    </row>
    <row r="128" spans="1:9" ht="30.75" customHeight="1">
      <c r="A128" s="52"/>
      <c r="B128" s="111" t="s">
        <v>217</v>
      </c>
      <c r="C128" s="111" t="s">
        <v>218</v>
      </c>
      <c r="D128" s="56" t="s">
        <v>219</v>
      </c>
      <c r="E128" s="57">
        <f>F128</f>
        <v>3000</v>
      </c>
      <c r="F128" s="57">
        <v>3000</v>
      </c>
      <c r="G128" s="57"/>
      <c r="H128" s="65"/>
      <c r="I128" s="65"/>
    </row>
    <row r="129" spans="1:9" ht="18.75" customHeight="1">
      <c r="A129" s="67">
        <v>921</v>
      </c>
      <c r="B129" s="67"/>
      <c r="C129" s="67"/>
      <c r="D129" s="50" t="s">
        <v>220</v>
      </c>
      <c r="E129" s="51">
        <f>E130+E142+E144+E140</f>
        <v>7000</v>
      </c>
      <c r="F129" s="51">
        <f>F130+F142+F144+F140</f>
        <v>7000</v>
      </c>
      <c r="G129" s="51">
        <f>G130+G142+G144+G140</f>
        <v>0</v>
      </c>
      <c r="H129" s="51">
        <f>H130+H142+H144+H140</f>
        <v>0</v>
      </c>
      <c r="I129" s="51">
        <f>I130+I142+I144+I140</f>
        <v>0</v>
      </c>
    </row>
    <row r="130" spans="1:9" ht="18.75" customHeight="1">
      <c r="A130" s="68"/>
      <c r="B130" s="68">
        <v>92109</v>
      </c>
      <c r="C130" s="68"/>
      <c r="D130" s="69" t="s">
        <v>221</v>
      </c>
      <c r="E130" s="54">
        <f>E131</f>
        <v>7000</v>
      </c>
      <c r="F130" s="54">
        <f>F131</f>
        <v>7000</v>
      </c>
      <c r="G130" s="54">
        <f>G131</f>
        <v>0</v>
      </c>
      <c r="H130" s="54">
        <f>H131</f>
        <v>0</v>
      </c>
      <c r="I130" s="54">
        <f>I131</f>
        <v>0</v>
      </c>
    </row>
    <row r="131" spans="1:9" ht="18" customHeight="1">
      <c r="A131" s="55"/>
      <c r="B131" s="55"/>
      <c r="C131" s="55" t="s">
        <v>125</v>
      </c>
      <c r="D131" s="56" t="s">
        <v>222</v>
      </c>
      <c r="E131" s="57">
        <f>F131</f>
        <v>7000</v>
      </c>
      <c r="F131" s="57">
        <v>7000</v>
      </c>
      <c r="G131" s="57"/>
      <c r="H131" s="65"/>
      <c r="I131" s="65"/>
    </row>
    <row r="132" spans="1:9" ht="18.75" customHeight="1">
      <c r="A132" s="50">
        <v>926</v>
      </c>
      <c r="B132" s="50"/>
      <c r="C132" s="50"/>
      <c r="D132" s="112" t="s">
        <v>223</v>
      </c>
      <c r="E132" s="59">
        <f>E133+E135</f>
        <v>1201900</v>
      </c>
      <c r="F132" s="59">
        <f>F133+F135</f>
        <v>101900</v>
      </c>
      <c r="G132" s="59">
        <f>G133+G135</f>
        <v>0</v>
      </c>
      <c r="H132" s="59">
        <f>H133+H135</f>
        <v>1100000</v>
      </c>
      <c r="I132" s="59">
        <f>I133+I135</f>
        <v>1100000</v>
      </c>
    </row>
    <row r="133" spans="1:9" ht="18.75" customHeight="1">
      <c r="A133" s="60"/>
      <c r="B133" s="60">
        <v>92601</v>
      </c>
      <c r="C133" s="60"/>
      <c r="D133" s="69" t="s">
        <v>224</v>
      </c>
      <c r="E133" s="62">
        <f>E134</f>
        <v>1100000</v>
      </c>
      <c r="F133" s="62">
        <f>F134</f>
        <v>0</v>
      </c>
      <c r="G133" s="62">
        <f>G134</f>
        <v>0</v>
      </c>
      <c r="H133" s="62">
        <f>H134</f>
        <v>1100000</v>
      </c>
      <c r="I133" s="62">
        <f>I134</f>
        <v>1100000</v>
      </c>
    </row>
    <row r="134" spans="1:9" ht="59.25" customHeight="1">
      <c r="A134" s="60"/>
      <c r="B134" s="63"/>
      <c r="C134" s="55" t="s">
        <v>103</v>
      </c>
      <c r="D134" s="64" t="s">
        <v>100</v>
      </c>
      <c r="E134" s="65">
        <f>I134</f>
        <v>1100000</v>
      </c>
      <c r="F134" s="66"/>
      <c r="G134" s="66"/>
      <c r="H134" s="65">
        <f>I134</f>
        <v>1100000</v>
      </c>
      <c r="I134" s="66">
        <v>1100000</v>
      </c>
    </row>
    <row r="135" spans="1:9" ht="18.75" customHeight="1">
      <c r="A135" s="60"/>
      <c r="B135" s="60">
        <v>92605</v>
      </c>
      <c r="C135" s="60"/>
      <c r="D135" s="69" t="s">
        <v>225</v>
      </c>
      <c r="E135" s="62">
        <f>E136</f>
        <v>101900</v>
      </c>
      <c r="F135" s="62">
        <f>F136</f>
        <v>101900</v>
      </c>
      <c r="G135" s="62">
        <f>G136</f>
        <v>0</v>
      </c>
      <c r="H135" s="62">
        <f>H136</f>
        <v>0</v>
      </c>
      <c r="I135" s="62">
        <f>I136</f>
        <v>0</v>
      </c>
    </row>
    <row r="136" spans="1:9" ht="45.75" customHeight="1">
      <c r="A136" s="60"/>
      <c r="B136" s="63"/>
      <c r="C136" s="55" t="s">
        <v>226</v>
      </c>
      <c r="D136" s="113" t="s">
        <v>227</v>
      </c>
      <c r="E136" s="65">
        <f>F136+H136</f>
        <v>101900</v>
      </c>
      <c r="F136" s="66">
        <f>12900+89000</f>
        <v>101900</v>
      </c>
      <c r="G136" s="66"/>
      <c r="H136" s="66">
        <f>I136</f>
        <v>0</v>
      </c>
      <c r="I136" s="66"/>
    </row>
    <row r="137" spans="1:9" ht="18.75" customHeight="1">
      <c r="A137" s="114" t="s">
        <v>228</v>
      </c>
      <c r="B137" s="114"/>
      <c r="C137" s="114"/>
      <c r="D137" s="114"/>
      <c r="E137" s="62">
        <f>E122+E100+E75+E68+E32+E27+E24+E16+E6+E12+E129+E132+E9+E118</f>
        <v>41957471.46</v>
      </c>
      <c r="F137" s="62">
        <f>F122+F100+F75+F68+F32+F27+F24+F16+F6+F12+F129+F132+F9+F118</f>
        <v>36999858.46</v>
      </c>
      <c r="G137" s="62">
        <f>G122+G100+G75+G68+G32+G27+G24+G16+G6+G12+G129+G132+G9+G118</f>
        <v>844354.4600000001</v>
      </c>
      <c r="H137" s="62">
        <f>H122+H100+H75+H68+H32+H27+H24+H16+H6+H12+H129+H132+H9+H118</f>
        <v>4957613</v>
      </c>
      <c r="I137" s="62">
        <f>I122+I100+I75+I68+I32+I27+I24+I16+I6+I12+I129+I132+I9+I118</f>
        <v>3491613</v>
      </c>
    </row>
    <row r="138" spans="5:7" ht="15">
      <c r="E138" s="115"/>
      <c r="F138" s="115"/>
      <c r="G138" s="115"/>
    </row>
    <row r="139" ht="15">
      <c r="E139" s="115"/>
    </row>
    <row r="140" ht="15">
      <c r="E140" s="116"/>
    </row>
  </sheetData>
  <mergeCells count="10">
    <mergeCell ref="A1:I1"/>
    <mergeCell ref="A2:A4"/>
    <mergeCell ref="B2:B4"/>
    <mergeCell ref="C2:C4"/>
    <mergeCell ref="D2:D4"/>
    <mergeCell ref="E2:E4"/>
    <mergeCell ref="F2:I2"/>
    <mergeCell ref="F3:F4"/>
    <mergeCell ref="H3:H4"/>
    <mergeCell ref="A137:D137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85"/>
  <headerFooter alignWithMargins="0">
    <oddHeader>&amp;R&amp;"Times New Roman,Normalny"&amp;12Załącznik Nr 2 do projektu uchwały Nr .. Rady Miejskiej w Barlinku z dnia ........grudnia 2010</oddHeader>
    <oddFooter>&amp;C&amp;"Times New Roman,Normalny"&amp;12Strona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30"/>
  <sheetViews>
    <sheetView showGridLines="0" defaultGridColor="0" view="pageBreakPreview" zoomScaleSheetLayoutView="100" colorId="15" workbookViewId="0" topLeftCell="A1">
      <selection activeCell="K23" sqref="K23"/>
    </sheetView>
  </sheetViews>
  <sheetFormatPr defaultColWidth="9.00390625" defaultRowHeight="12.75"/>
  <cols>
    <col min="1" max="1" width="9.50390625" style="38" customWidth="1"/>
    <col min="2" max="2" width="5.25390625" style="37" customWidth="1"/>
    <col min="3" max="3" width="69.625" style="40" customWidth="1"/>
    <col min="4" max="4" width="15.25390625" style="117" customWidth="1"/>
    <col min="5" max="16384" width="9.125" style="38" customWidth="1"/>
  </cols>
  <sheetData>
    <row r="1" spans="1:10" ht="45" customHeight="1">
      <c r="A1" s="550" t="s">
        <v>573</v>
      </c>
      <c r="B1" s="550"/>
      <c r="C1" s="550"/>
      <c r="D1" s="550"/>
      <c r="E1" s="551"/>
      <c r="F1" s="551"/>
      <c r="G1" s="465"/>
      <c r="H1" s="551"/>
      <c r="I1" s="551"/>
      <c r="J1" s="551"/>
    </row>
    <row r="2" spans="1:8" ht="18.75" customHeight="1">
      <c r="A2" s="552" t="s">
        <v>86</v>
      </c>
      <c r="B2" s="553"/>
      <c r="C2" s="554" t="s">
        <v>574</v>
      </c>
      <c r="D2" s="555" t="s">
        <v>252</v>
      </c>
      <c r="E2" s="39"/>
      <c r="F2" s="39"/>
      <c r="G2" s="39"/>
      <c r="H2" s="39"/>
    </row>
    <row r="3" spans="1:8" ht="18.75" customHeight="1">
      <c r="A3" s="556" t="s">
        <v>575</v>
      </c>
      <c r="B3" s="556"/>
      <c r="C3" s="556"/>
      <c r="D3" s="54">
        <f>D4</f>
        <v>141500</v>
      </c>
      <c r="E3" s="39"/>
      <c r="F3" s="39"/>
      <c r="G3" s="39"/>
      <c r="H3" s="39"/>
    </row>
    <row r="4" spans="1:8" ht="32.25" customHeight="1">
      <c r="A4" s="68">
        <v>90019</v>
      </c>
      <c r="B4" s="52"/>
      <c r="C4" s="110" t="s">
        <v>214</v>
      </c>
      <c r="D4" s="54">
        <f>SUM(D5:D7)</f>
        <v>141500</v>
      </c>
      <c r="E4" s="39"/>
      <c r="F4" s="39"/>
      <c r="G4" s="39"/>
      <c r="H4" s="39"/>
    </row>
    <row r="5" spans="1:8" ht="18.75" customHeight="1">
      <c r="A5" s="70"/>
      <c r="B5" s="55" t="s">
        <v>412</v>
      </c>
      <c r="C5" s="56" t="s">
        <v>576</v>
      </c>
      <c r="D5" s="57">
        <v>139000</v>
      </c>
      <c r="E5" s="39"/>
      <c r="F5" s="39"/>
      <c r="G5" s="39"/>
      <c r="H5" s="39"/>
    </row>
    <row r="6" spans="1:8" ht="18.75" customHeight="1">
      <c r="A6" s="70"/>
      <c r="B6" s="55" t="s">
        <v>413</v>
      </c>
      <c r="C6" s="56" t="s">
        <v>577</v>
      </c>
      <c r="D6" s="57">
        <v>2000</v>
      </c>
      <c r="E6" s="39"/>
      <c r="F6" s="39"/>
      <c r="G6" s="39"/>
      <c r="H6" s="39"/>
    </row>
    <row r="7" spans="1:8" ht="18.75" customHeight="1">
      <c r="A7" s="70"/>
      <c r="B7" s="55" t="s">
        <v>414</v>
      </c>
      <c r="C7" s="56" t="s">
        <v>578</v>
      </c>
      <c r="D7" s="57">
        <v>500</v>
      </c>
      <c r="E7" s="39"/>
      <c r="F7" s="39"/>
      <c r="G7" s="39"/>
      <c r="H7" s="39"/>
    </row>
    <row r="8" spans="1:8" ht="18.75" customHeight="1">
      <c r="A8" s="556" t="s">
        <v>579</v>
      </c>
      <c r="B8" s="556"/>
      <c r="C8" s="556"/>
      <c r="D8" s="54">
        <f>D11+D10</f>
        <v>187500</v>
      </c>
      <c r="E8" s="39"/>
      <c r="F8" s="39"/>
      <c r="G8" s="39"/>
      <c r="H8" s="39"/>
    </row>
    <row r="9" spans="1:8" ht="18.75" customHeight="1">
      <c r="A9" s="60">
        <v>90001</v>
      </c>
      <c r="B9" s="60"/>
      <c r="C9" s="69" t="s">
        <v>393</v>
      </c>
      <c r="D9" s="54">
        <f>D10</f>
        <v>80000</v>
      </c>
      <c r="E9" s="39"/>
      <c r="F9" s="39"/>
      <c r="G9" s="39"/>
      <c r="H9" s="39"/>
    </row>
    <row r="10" spans="1:8" ht="18.75" customHeight="1">
      <c r="A10" s="557"/>
      <c r="B10" s="557">
        <v>1</v>
      </c>
      <c r="C10" s="558" t="s">
        <v>580</v>
      </c>
      <c r="D10" s="57">
        <v>80000</v>
      </c>
      <c r="E10" s="39"/>
      <c r="F10" s="39"/>
      <c r="G10" s="39"/>
      <c r="H10" s="39"/>
    </row>
    <row r="11" spans="1:8" ht="32.25" customHeight="1">
      <c r="A11" s="68">
        <v>90019</v>
      </c>
      <c r="B11" s="55"/>
      <c r="C11" s="110" t="s">
        <v>214</v>
      </c>
      <c r="D11" s="57">
        <f>D12+D15+D22</f>
        <v>107500</v>
      </c>
      <c r="E11" s="39"/>
      <c r="F11" s="39"/>
      <c r="G11" s="39"/>
      <c r="H11" s="39"/>
    </row>
    <row r="12" spans="1:8" ht="32.25" customHeight="1">
      <c r="A12" s="559"/>
      <c r="B12" s="560" t="s">
        <v>412</v>
      </c>
      <c r="C12" s="97" t="s">
        <v>581</v>
      </c>
      <c r="D12" s="109">
        <f>SUM(D13:D14)</f>
        <v>24000</v>
      </c>
      <c r="E12" s="39"/>
      <c r="F12" s="39"/>
      <c r="G12" s="39"/>
      <c r="H12" s="39"/>
    </row>
    <row r="13" spans="1:8" ht="18" customHeight="1">
      <c r="A13" s="559"/>
      <c r="B13" s="560"/>
      <c r="C13" s="561" t="s">
        <v>582</v>
      </c>
      <c r="D13" s="109">
        <v>16000</v>
      </c>
      <c r="E13" s="39"/>
      <c r="F13" s="39"/>
      <c r="G13" s="39"/>
      <c r="H13" s="39"/>
    </row>
    <row r="14" spans="1:8" ht="18" customHeight="1">
      <c r="A14" s="559"/>
      <c r="B14" s="560"/>
      <c r="C14" s="562" t="s">
        <v>583</v>
      </c>
      <c r="D14" s="109">
        <v>8000</v>
      </c>
      <c r="E14" s="39"/>
      <c r="F14" s="39"/>
      <c r="G14" s="39"/>
      <c r="H14" s="39"/>
    </row>
    <row r="15" spans="1:8" ht="18.75" customHeight="1">
      <c r="A15" s="559"/>
      <c r="B15" s="560" t="s">
        <v>413</v>
      </c>
      <c r="C15" s="97" t="s">
        <v>584</v>
      </c>
      <c r="D15" s="109">
        <f>SUM(D16:D21)</f>
        <v>69500</v>
      </c>
      <c r="E15" s="39"/>
      <c r="F15" s="39"/>
      <c r="G15" s="39"/>
      <c r="H15" s="39"/>
    </row>
    <row r="16" spans="1:8" ht="18.75" customHeight="1">
      <c r="A16" s="559"/>
      <c r="B16" s="560"/>
      <c r="C16" s="97" t="s">
        <v>585</v>
      </c>
      <c r="D16" s="109">
        <v>11500</v>
      </c>
      <c r="E16" s="39"/>
      <c r="F16" s="39"/>
      <c r="G16" s="39"/>
      <c r="H16" s="39"/>
    </row>
    <row r="17" spans="1:8" ht="18.75" customHeight="1">
      <c r="A17" s="559"/>
      <c r="B17" s="560"/>
      <c r="C17" s="97" t="s">
        <v>586</v>
      </c>
      <c r="D17" s="109">
        <v>7000</v>
      </c>
      <c r="E17" s="39"/>
      <c r="F17" s="39"/>
      <c r="G17" s="39"/>
      <c r="H17" s="39"/>
    </row>
    <row r="18" spans="1:8" ht="32.25" customHeight="1">
      <c r="A18" s="559"/>
      <c r="B18" s="560"/>
      <c r="C18" s="97" t="s">
        <v>587</v>
      </c>
      <c r="D18" s="109">
        <v>4000</v>
      </c>
      <c r="E18" s="39"/>
      <c r="F18" s="39"/>
      <c r="G18" s="39"/>
      <c r="H18" s="39"/>
    </row>
    <row r="19" spans="1:8" ht="32.25" customHeight="1">
      <c r="A19" s="559"/>
      <c r="B19" s="560"/>
      <c r="C19" s="97" t="s">
        <v>588</v>
      </c>
      <c r="D19" s="109">
        <v>17000</v>
      </c>
      <c r="E19" s="39"/>
      <c r="F19" s="39"/>
      <c r="G19" s="39"/>
      <c r="H19" s="39"/>
    </row>
    <row r="20" spans="1:8" ht="18.75" customHeight="1">
      <c r="A20" s="559"/>
      <c r="B20" s="560"/>
      <c r="C20" s="97" t="s">
        <v>589</v>
      </c>
      <c r="D20" s="109">
        <v>14000</v>
      </c>
      <c r="E20" s="39"/>
      <c r="F20" s="39"/>
      <c r="G20" s="39"/>
      <c r="H20" s="39"/>
    </row>
    <row r="21" spans="1:8" ht="32.25" customHeight="1">
      <c r="A21" s="559"/>
      <c r="B21" s="560"/>
      <c r="C21" s="97" t="s">
        <v>590</v>
      </c>
      <c r="D21" s="109">
        <v>16000</v>
      </c>
      <c r="E21" s="39"/>
      <c r="F21" s="39"/>
      <c r="G21" s="39"/>
      <c r="H21" s="39"/>
    </row>
    <row r="22" spans="1:8" ht="18.75" customHeight="1">
      <c r="A22" s="559"/>
      <c r="B22" s="560" t="s">
        <v>414</v>
      </c>
      <c r="C22" s="97" t="s">
        <v>591</v>
      </c>
      <c r="D22" s="109">
        <f>D23+D24</f>
        <v>14000</v>
      </c>
      <c r="E22" s="39"/>
      <c r="F22" s="39"/>
      <c r="G22" s="39"/>
      <c r="H22" s="39"/>
    </row>
    <row r="23" spans="1:8" ht="18.75" customHeight="1">
      <c r="A23" s="559"/>
      <c r="B23" s="560"/>
      <c r="C23" s="97" t="s">
        <v>592</v>
      </c>
      <c r="D23" s="109">
        <v>7000</v>
      </c>
      <c r="E23" s="39"/>
      <c r="F23" s="39"/>
      <c r="G23" s="39"/>
      <c r="H23" s="39"/>
    </row>
    <row r="24" spans="1:8" ht="18.75" customHeight="1">
      <c r="A24" s="559"/>
      <c r="B24" s="560"/>
      <c r="C24" s="97" t="s">
        <v>593</v>
      </c>
      <c r="D24" s="109">
        <v>7000</v>
      </c>
      <c r="E24" s="39"/>
      <c r="F24" s="39"/>
      <c r="G24" s="39"/>
      <c r="H24" s="39"/>
    </row>
    <row r="25" spans="1:8" ht="15">
      <c r="A25" s="39"/>
      <c r="B25" s="563"/>
      <c r="C25" s="564"/>
      <c r="D25" s="565"/>
      <c r="E25" s="39"/>
      <c r="F25" s="39"/>
      <c r="G25" s="39"/>
      <c r="H25" s="39"/>
    </row>
    <row r="26" spans="1:8" ht="15">
      <c r="A26" s="39"/>
      <c r="B26" s="563"/>
      <c r="C26" s="564"/>
      <c r="D26" s="565"/>
      <c r="E26" s="39"/>
      <c r="F26" s="39"/>
      <c r="G26" s="39"/>
      <c r="H26" s="39"/>
    </row>
    <row r="27" spans="1:8" ht="15">
      <c r="A27" s="39"/>
      <c r="B27" s="563"/>
      <c r="C27" s="564"/>
      <c r="D27" s="565"/>
      <c r="E27" s="39"/>
      <c r="F27" s="39"/>
      <c r="G27" s="39"/>
      <c r="H27" s="39"/>
    </row>
    <row r="28" spans="1:8" ht="15">
      <c r="A28" s="39"/>
      <c r="B28" s="563"/>
      <c r="C28" s="564"/>
      <c r="D28" s="565"/>
      <c r="E28" s="39"/>
      <c r="F28" s="39"/>
      <c r="G28" s="39"/>
      <c r="H28" s="39"/>
    </row>
    <row r="29" spans="1:8" ht="15">
      <c r="A29" s="39"/>
      <c r="B29" s="563"/>
      <c r="C29" s="564"/>
      <c r="D29" s="565"/>
      <c r="E29" s="39"/>
      <c r="F29" s="39"/>
      <c r="G29" s="39"/>
      <c r="H29" s="39"/>
    </row>
    <row r="30" spans="1:8" ht="15">
      <c r="A30" s="39"/>
      <c r="B30" s="563"/>
      <c r="C30" s="564"/>
      <c r="D30" s="565"/>
      <c r="E30" s="39"/>
      <c r="F30" s="39"/>
      <c r="G30" s="39"/>
      <c r="H30" s="39"/>
    </row>
  </sheetData>
  <mergeCells count="3">
    <mergeCell ref="A1:D1"/>
    <mergeCell ref="A3:C3"/>
    <mergeCell ref="A8:C8"/>
  </mergeCells>
  <printOptions/>
  <pageMargins left="0.7875" right="0.7875" top="1.0527777777777778" bottom="1.0527777777777778" header="0.7875" footer="0.7875"/>
  <pageSetup horizontalDpi="300" verticalDpi="300" orientation="portrait" paperSize="9" scale="87"/>
  <headerFooter alignWithMargins="0">
    <oddHeader>&amp;R&amp;"Times New Roman,Normalny"&amp;12Załącznik Nr 29 do projektu uchwały Nr .Rady Miejskiej w Barlinku z dnia ........grudnia 2010</oddHeader>
    <oddFooter>&amp;C&amp;"Times New Roman,Normalny"&amp;12Strona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view="pageBreakPreview" zoomScaleSheetLayoutView="100" colorId="15" workbookViewId="0" topLeftCell="A4">
      <selection activeCell="A22" sqref="A22"/>
    </sheetView>
  </sheetViews>
  <sheetFormatPr defaultColWidth="12.00390625" defaultRowHeight="12.75"/>
  <cols>
    <col min="1" max="1" width="6.50390625" style="38" customWidth="1"/>
    <col min="2" max="2" width="8.125" style="38" customWidth="1"/>
    <col min="3" max="3" width="6.00390625" style="38" customWidth="1"/>
    <col min="4" max="4" width="85.25390625" style="40" customWidth="1"/>
    <col min="5" max="6" width="11.625" style="40" customWidth="1"/>
    <col min="7" max="7" width="13.00390625" style="40" customWidth="1"/>
    <col min="8" max="8" width="10.75390625" style="40" customWidth="1"/>
    <col min="9" max="9" width="13.00390625" style="117" customWidth="1"/>
    <col min="10" max="16384" width="11.625" style="38" customWidth="1"/>
  </cols>
  <sheetData>
    <row r="1" spans="1:9" ht="59.25" customHeight="1">
      <c r="A1" s="28" t="s">
        <v>229</v>
      </c>
      <c r="B1" s="28"/>
      <c r="C1" s="28"/>
      <c r="D1" s="28"/>
      <c r="E1" s="28"/>
      <c r="F1" s="28"/>
      <c r="G1" s="28"/>
      <c r="H1" s="28"/>
      <c r="I1" s="28"/>
    </row>
    <row r="2" spans="1:9" s="118" customFormat="1" ht="13.5" customHeight="1">
      <c r="A2" s="42" t="s">
        <v>66</v>
      </c>
      <c r="B2" s="42" t="s">
        <v>86</v>
      </c>
      <c r="C2" s="42" t="s">
        <v>87</v>
      </c>
      <c r="D2" s="42" t="s">
        <v>88</v>
      </c>
      <c r="E2" s="42" t="s">
        <v>89</v>
      </c>
      <c r="F2" s="43" t="s">
        <v>90</v>
      </c>
      <c r="G2" s="43"/>
      <c r="H2" s="43"/>
      <c r="I2" s="43"/>
    </row>
    <row r="3" spans="1:9" s="119" customFormat="1" ht="13.5" customHeight="1">
      <c r="A3" s="42"/>
      <c r="B3" s="42"/>
      <c r="C3" s="42"/>
      <c r="D3" s="42"/>
      <c r="E3" s="42"/>
      <c r="F3" s="42" t="s">
        <v>69</v>
      </c>
      <c r="G3" s="42" t="s">
        <v>90</v>
      </c>
      <c r="H3" s="42" t="s">
        <v>70</v>
      </c>
      <c r="I3" s="42" t="s">
        <v>90</v>
      </c>
    </row>
    <row r="4" spans="1:9" s="119" customFormat="1" ht="78.75">
      <c r="A4" s="42"/>
      <c r="B4" s="42"/>
      <c r="C4" s="42"/>
      <c r="D4" s="42"/>
      <c r="E4" s="42"/>
      <c r="F4" s="42"/>
      <c r="G4" s="120" t="s">
        <v>91</v>
      </c>
      <c r="H4" s="42"/>
      <c r="I4" s="120" t="s">
        <v>91</v>
      </c>
    </row>
    <row r="5" spans="1:9" s="119" customFormat="1" ht="12.75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8">
        <v>7</v>
      </c>
      <c r="H5" s="48">
        <v>8</v>
      </c>
      <c r="I5" s="48">
        <v>9</v>
      </c>
    </row>
    <row r="6" spans="1:9" ht="15">
      <c r="A6" s="67">
        <v>750</v>
      </c>
      <c r="B6" s="67"/>
      <c r="C6" s="67"/>
      <c r="D6" s="50" t="s">
        <v>121</v>
      </c>
      <c r="E6" s="59">
        <f>E7</f>
        <v>146200</v>
      </c>
      <c r="F6" s="59">
        <f>F7</f>
        <v>146200</v>
      </c>
      <c r="G6" s="59">
        <f>G7</f>
        <v>0</v>
      </c>
      <c r="H6" s="59">
        <f>H7</f>
        <v>0</v>
      </c>
      <c r="I6" s="59">
        <f>I7</f>
        <v>0</v>
      </c>
    </row>
    <row r="7" spans="1:9" ht="15">
      <c r="A7" s="68"/>
      <c r="B7" s="70">
        <v>75011</v>
      </c>
      <c r="C7" s="70"/>
      <c r="D7" s="64" t="s">
        <v>230</v>
      </c>
      <c r="E7" s="65">
        <f>E8</f>
        <v>146200</v>
      </c>
      <c r="F7" s="65">
        <f>F8</f>
        <v>146200</v>
      </c>
      <c r="G7" s="65">
        <f>G8</f>
        <v>0</v>
      </c>
      <c r="H7" s="65">
        <f>H8</f>
        <v>0</v>
      </c>
      <c r="I7" s="65">
        <f>I8</f>
        <v>0</v>
      </c>
    </row>
    <row r="8" spans="1:9" ht="29.25">
      <c r="A8" s="68"/>
      <c r="B8" s="70"/>
      <c r="C8" s="70">
        <v>2010</v>
      </c>
      <c r="D8" s="64" t="s">
        <v>231</v>
      </c>
      <c r="E8" s="121">
        <f>F8+H8</f>
        <v>146200</v>
      </c>
      <c r="F8" s="65">
        <v>146200</v>
      </c>
      <c r="G8" s="65"/>
      <c r="H8" s="65"/>
      <c r="I8" s="65"/>
    </row>
    <row r="9" spans="1:9" ht="29.25">
      <c r="A9" s="67">
        <v>751</v>
      </c>
      <c r="B9" s="67"/>
      <c r="C9" s="67"/>
      <c r="D9" s="122" t="s">
        <v>232</v>
      </c>
      <c r="E9" s="123">
        <f>E10</f>
        <v>3270</v>
      </c>
      <c r="F9" s="123">
        <f>F10</f>
        <v>3270</v>
      </c>
      <c r="G9" s="123">
        <f>G10</f>
        <v>0</v>
      </c>
      <c r="H9" s="123">
        <f>H10</f>
        <v>0</v>
      </c>
      <c r="I9" s="123">
        <f>I10</f>
        <v>0</v>
      </c>
    </row>
    <row r="10" spans="1:9" ht="15">
      <c r="A10" s="68"/>
      <c r="B10" s="68">
        <v>75101</v>
      </c>
      <c r="C10" s="68"/>
      <c r="D10" s="124" t="s">
        <v>233</v>
      </c>
      <c r="E10" s="125">
        <f>E11</f>
        <v>3270</v>
      </c>
      <c r="F10" s="125">
        <f>F11</f>
        <v>3270</v>
      </c>
      <c r="G10" s="125">
        <f>G11</f>
        <v>0</v>
      </c>
      <c r="H10" s="125">
        <f>H11</f>
        <v>0</v>
      </c>
      <c r="I10" s="125">
        <f>I11</f>
        <v>0</v>
      </c>
    </row>
    <row r="11" spans="1:9" ht="29.25">
      <c r="A11" s="68"/>
      <c r="B11" s="70"/>
      <c r="C11" s="70">
        <v>2010</v>
      </c>
      <c r="D11" s="64" t="s">
        <v>231</v>
      </c>
      <c r="E11" s="121">
        <f>F11+H11</f>
        <v>3270</v>
      </c>
      <c r="F11" s="65">
        <v>3270</v>
      </c>
      <c r="G11" s="65"/>
      <c r="H11" s="65"/>
      <c r="I11" s="65"/>
    </row>
    <row r="12" spans="1:9" ht="15">
      <c r="A12" s="67">
        <v>852</v>
      </c>
      <c r="B12" s="67"/>
      <c r="C12" s="67"/>
      <c r="D12" s="50" t="s">
        <v>234</v>
      </c>
      <c r="E12" s="59">
        <f>E13+E15+E17+E19</f>
        <v>5718000</v>
      </c>
      <c r="F12" s="59">
        <f>F13+F15+F17+F19</f>
        <v>5718000</v>
      </c>
      <c r="G12" s="59">
        <f>G13+G15+G17+G19</f>
        <v>0</v>
      </c>
      <c r="H12" s="59">
        <f>H13+H15+H17+H19</f>
        <v>0</v>
      </c>
      <c r="I12" s="59">
        <f>I13+I15+I17+I19</f>
        <v>0</v>
      </c>
    </row>
    <row r="13" spans="1:9" ht="15">
      <c r="A13" s="68"/>
      <c r="B13" s="70">
        <v>85203</v>
      </c>
      <c r="C13" s="70"/>
      <c r="D13" s="64" t="s">
        <v>235</v>
      </c>
      <c r="E13" s="65">
        <f>E14</f>
        <v>378000</v>
      </c>
      <c r="F13" s="65">
        <f>F14</f>
        <v>378000</v>
      </c>
      <c r="G13" s="65">
        <f>G14</f>
        <v>0</v>
      </c>
      <c r="H13" s="65">
        <f>H14</f>
        <v>0</v>
      </c>
      <c r="I13" s="65">
        <f>I14</f>
        <v>0</v>
      </c>
    </row>
    <row r="14" spans="1:9" ht="29.25">
      <c r="A14" s="68"/>
      <c r="B14" s="70"/>
      <c r="C14" s="70">
        <v>2010</v>
      </c>
      <c r="D14" s="64" t="s">
        <v>231</v>
      </c>
      <c r="E14" s="121">
        <f>F14+H14</f>
        <v>378000</v>
      </c>
      <c r="F14" s="65">
        <v>378000</v>
      </c>
      <c r="G14" s="65"/>
      <c r="H14" s="65"/>
      <c r="I14" s="65"/>
    </row>
    <row r="15" spans="1:9" ht="29.25">
      <c r="A15" s="68"/>
      <c r="B15" s="70">
        <v>85212</v>
      </c>
      <c r="C15" s="70"/>
      <c r="D15" s="64" t="s">
        <v>236</v>
      </c>
      <c r="E15" s="65">
        <f>E16</f>
        <v>5250000</v>
      </c>
      <c r="F15" s="65">
        <f>F16</f>
        <v>5250000</v>
      </c>
      <c r="G15" s="65">
        <f>G16</f>
        <v>0</v>
      </c>
      <c r="H15" s="65">
        <f>H16</f>
        <v>0</v>
      </c>
      <c r="I15" s="65">
        <f>I16</f>
        <v>0</v>
      </c>
    </row>
    <row r="16" spans="1:9" ht="29.25">
      <c r="A16" s="68"/>
      <c r="B16" s="70"/>
      <c r="C16" s="70">
        <v>2010</v>
      </c>
      <c r="D16" s="64" t="s">
        <v>231</v>
      </c>
      <c r="E16" s="121">
        <f>F16+H16</f>
        <v>5250000</v>
      </c>
      <c r="F16" s="65">
        <v>5250000</v>
      </c>
      <c r="G16" s="65"/>
      <c r="H16" s="65"/>
      <c r="I16" s="65"/>
    </row>
    <row r="17" spans="1:9" ht="29.25">
      <c r="A17" s="68"/>
      <c r="B17" s="70">
        <v>85213</v>
      </c>
      <c r="C17" s="70"/>
      <c r="D17" s="64" t="s">
        <v>198</v>
      </c>
      <c r="E17" s="65">
        <f>E18</f>
        <v>12000</v>
      </c>
      <c r="F17" s="65">
        <f>F18</f>
        <v>12000</v>
      </c>
      <c r="G17" s="65">
        <f>G18</f>
        <v>0</v>
      </c>
      <c r="H17" s="65">
        <f>H18</f>
        <v>0</v>
      </c>
      <c r="I17" s="65">
        <f>I18</f>
        <v>0</v>
      </c>
    </row>
    <row r="18" spans="1:9" ht="29.25">
      <c r="A18" s="68"/>
      <c r="B18" s="70"/>
      <c r="C18" s="70">
        <v>2010</v>
      </c>
      <c r="D18" s="64" t="s">
        <v>231</v>
      </c>
      <c r="E18" s="121">
        <f>F18+H18</f>
        <v>12000</v>
      </c>
      <c r="F18" s="65">
        <v>12000</v>
      </c>
      <c r="G18" s="65"/>
      <c r="H18" s="65"/>
      <c r="I18" s="65"/>
    </row>
    <row r="19" spans="1:9" ht="15">
      <c r="A19" s="70"/>
      <c r="B19" s="70">
        <v>85228</v>
      </c>
      <c r="C19" s="70"/>
      <c r="D19" s="126" t="s">
        <v>205</v>
      </c>
      <c r="E19" s="65">
        <f>E20</f>
        <v>78000</v>
      </c>
      <c r="F19" s="65">
        <f>F20</f>
        <v>78000</v>
      </c>
      <c r="G19" s="65">
        <f>G20</f>
        <v>0</v>
      </c>
      <c r="H19" s="65">
        <f>H20</f>
        <v>0</v>
      </c>
      <c r="I19" s="65">
        <f>I20</f>
        <v>0</v>
      </c>
    </row>
    <row r="20" spans="1:9" ht="39" customHeight="1">
      <c r="A20" s="70"/>
      <c r="B20" s="127" t="s">
        <v>237</v>
      </c>
      <c r="C20" s="70">
        <v>2010</v>
      </c>
      <c r="D20" s="64" t="s">
        <v>231</v>
      </c>
      <c r="E20" s="121">
        <f>F20+H20</f>
        <v>78000</v>
      </c>
      <c r="F20" s="65">
        <v>78000</v>
      </c>
      <c r="G20" s="65"/>
      <c r="H20" s="65"/>
      <c r="I20" s="65"/>
    </row>
    <row r="21" spans="1:9" ht="15" customHeight="1">
      <c r="A21" s="128" t="s">
        <v>228</v>
      </c>
      <c r="B21" s="128"/>
      <c r="C21" s="128"/>
      <c r="D21" s="128"/>
      <c r="E21" s="62">
        <f>E12+E6+E9</f>
        <v>5867470</v>
      </c>
      <c r="F21" s="62">
        <f>F12+F6+F9</f>
        <v>5867470</v>
      </c>
      <c r="G21" s="62">
        <f>G12+G6+G9</f>
        <v>0</v>
      </c>
      <c r="H21" s="62">
        <f>H12+H6+H9</f>
        <v>0</v>
      </c>
      <c r="I21" s="62">
        <f>I12+I6+I9</f>
        <v>0</v>
      </c>
    </row>
  </sheetData>
  <mergeCells count="10">
    <mergeCell ref="A1:I1"/>
    <mergeCell ref="A2:A4"/>
    <mergeCell ref="B2:B4"/>
    <mergeCell ref="C2:C4"/>
    <mergeCell ref="D2:D4"/>
    <mergeCell ref="E2:E4"/>
    <mergeCell ref="F2:I2"/>
    <mergeCell ref="F3:F4"/>
    <mergeCell ref="H3:H4"/>
    <mergeCell ref="A21:D21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82"/>
  <headerFooter alignWithMargins="0">
    <oddHeader>&amp;R&amp;"Times New Roman,Normalny"&amp;12Załącznik Nr  3 do projektu uchwały Nr .. Rady Miejskiej w Barlinku z dnia ........grudnia 2010</oddHeader>
    <oddFooter>&amp;C&amp;"Times New Roman,Normalny"&amp;12Strona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showGridLines="0" defaultGridColor="0" view="pageBreakPreview" zoomScaleSheetLayoutView="100" colorId="15" workbookViewId="0" topLeftCell="A1">
      <selection activeCell="A1" sqref="A1"/>
    </sheetView>
  </sheetViews>
  <sheetFormatPr defaultColWidth="9.00390625" defaultRowHeight="12.75"/>
  <cols>
    <col min="1" max="2" width="11.625" style="38" customWidth="1"/>
    <col min="3" max="3" width="6.875" style="38" customWidth="1"/>
    <col min="4" max="4" width="56.875" style="38" customWidth="1"/>
    <col min="5" max="5" width="11.625" style="38" customWidth="1"/>
    <col min="6" max="6" width="8.50390625" style="38" customWidth="1"/>
    <col min="7" max="7" width="10.50390625" style="38" customWidth="1"/>
    <col min="8" max="8" width="9.625" style="38" customWidth="1"/>
    <col min="9" max="9" width="11.875" style="38" customWidth="1"/>
    <col min="10" max="16384" width="9.00390625" style="38" customWidth="1"/>
  </cols>
  <sheetData>
    <row r="1" spans="1:9" ht="60" customHeight="1">
      <c r="A1" s="129" t="s">
        <v>238</v>
      </c>
      <c r="B1" s="129"/>
      <c r="C1" s="129"/>
      <c r="D1" s="129"/>
      <c r="E1" s="129"/>
      <c r="F1" s="129"/>
      <c r="G1" s="129"/>
      <c r="H1" s="129"/>
      <c r="I1" s="129"/>
    </row>
    <row r="2" spans="1:9" s="131" customFormat="1" ht="11.25" customHeight="1">
      <c r="A2" s="120" t="s">
        <v>66</v>
      </c>
      <c r="B2" s="120" t="s">
        <v>86</v>
      </c>
      <c r="C2" s="120" t="s">
        <v>87</v>
      </c>
      <c r="D2" s="120" t="s">
        <v>88</v>
      </c>
      <c r="E2" s="120" t="s">
        <v>89</v>
      </c>
      <c r="F2" s="130" t="s">
        <v>90</v>
      </c>
      <c r="G2" s="130"/>
      <c r="H2" s="130"/>
      <c r="I2" s="130"/>
    </row>
    <row r="3" spans="1:9" s="131" customFormat="1" ht="11.25" customHeight="1">
      <c r="A3" s="120"/>
      <c r="B3" s="120"/>
      <c r="C3" s="120"/>
      <c r="D3" s="120"/>
      <c r="E3" s="120"/>
      <c r="F3" s="120" t="s">
        <v>69</v>
      </c>
      <c r="G3" s="120" t="s">
        <v>90</v>
      </c>
      <c r="H3" s="120" t="s">
        <v>70</v>
      </c>
      <c r="I3" s="120" t="s">
        <v>90</v>
      </c>
    </row>
    <row r="4" spans="1:9" s="131" customFormat="1" ht="78.75">
      <c r="A4" s="120"/>
      <c r="B4" s="120"/>
      <c r="C4" s="120"/>
      <c r="D4" s="120"/>
      <c r="E4" s="120"/>
      <c r="F4" s="120"/>
      <c r="G4" s="120" t="s">
        <v>91</v>
      </c>
      <c r="H4" s="120"/>
      <c r="I4" s="120" t="s">
        <v>91</v>
      </c>
    </row>
    <row r="5" spans="1:9" s="39" customFormat="1" ht="15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8">
        <v>7</v>
      </c>
      <c r="H5" s="48">
        <v>8</v>
      </c>
      <c r="I5" s="48">
        <v>9</v>
      </c>
    </row>
    <row r="6" spans="1:9" s="39" customFormat="1" ht="15">
      <c r="A6" s="49">
        <v>710</v>
      </c>
      <c r="B6" s="49"/>
      <c r="C6" s="49"/>
      <c r="D6" s="73" t="s">
        <v>119</v>
      </c>
      <c r="E6" s="51">
        <f>E7</f>
        <v>7000</v>
      </c>
      <c r="F6" s="51">
        <f>F7</f>
        <v>7000</v>
      </c>
      <c r="G6" s="51">
        <f>G7</f>
        <v>0</v>
      </c>
      <c r="H6" s="51">
        <f>H7</f>
        <v>0</v>
      </c>
      <c r="I6" s="51">
        <f>I7</f>
        <v>0</v>
      </c>
    </row>
    <row r="7" spans="1:9" ht="15">
      <c r="A7" s="68"/>
      <c r="B7" s="70">
        <v>71035</v>
      </c>
      <c r="C7" s="70"/>
      <c r="D7" s="64" t="s">
        <v>230</v>
      </c>
      <c r="E7" s="65">
        <f>E8</f>
        <v>7000</v>
      </c>
      <c r="F7" s="65">
        <f>F8</f>
        <v>7000</v>
      </c>
      <c r="G7" s="121">
        <f>G8</f>
        <v>0</v>
      </c>
      <c r="H7" s="121">
        <f>H8</f>
        <v>0</v>
      </c>
      <c r="I7" s="121">
        <f>I8</f>
        <v>0</v>
      </c>
    </row>
    <row r="8" spans="1:9" ht="43.5">
      <c r="A8" s="68"/>
      <c r="B8" s="70"/>
      <c r="C8" s="70">
        <v>2020</v>
      </c>
      <c r="D8" s="64" t="s">
        <v>239</v>
      </c>
      <c r="E8" s="65">
        <f>F8</f>
        <v>7000</v>
      </c>
      <c r="F8" s="57">
        <v>7000</v>
      </c>
      <c r="G8" s="121"/>
      <c r="H8" s="121"/>
      <c r="I8" s="121"/>
    </row>
    <row r="9" spans="1:9" s="79" customFormat="1" ht="19.5" customHeight="1">
      <c r="A9" s="132" t="s">
        <v>84</v>
      </c>
      <c r="B9" s="132"/>
      <c r="C9" s="132"/>
      <c r="D9" s="132"/>
      <c r="E9" s="54">
        <f>E8</f>
        <v>7000</v>
      </c>
      <c r="F9" s="54">
        <f>F8</f>
        <v>7000</v>
      </c>
      <c r="G9" s="133">
        <f>G8</f>
        <v>0</v>
      </c>
      <c r="H9" s="133">
        <f>H8</f>
        <v>0</v>
      </c>
      <c r="I9" s="133">
        <f>I8</f>
        <v>0</v>
      </c>
    </row>
    <row r="11" ht="15">
      <c r="A11" s="134"/>
    </row>
  </sheetData>
  <mergeCells count="10">
    <mergeCell ref="A1:I1"/>
    <mergeCell ref="A2:A4"/>
    <mergeCell ref="B2:B4"/>
    <mergeCell ref="C2:C4"/>
    <mergeCell ref="D2:D4"/>
    <mergeCell ref="E2:E4"/>
    <mergeCell ref="F2:I2"/>
    <mergeCell ref="F3:F4"/>
    <mergeCell ref="H3:H4"/>
    <mergeCell ref="A9:D9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95"/>
  <headerFooter alignWithMargins="0">
    <oddHeader>&amp;R&amp;"Times New Roman,Normalny"&amp;12Załącznik Nr 4 do projektu uchwały Nr .. Rady Miejskiej w Barlinku z dnia ........grudnia 2010</oddHeader>
    <oddFooter>&amp;C&amp;"Times New Roman,Normalny"&amp;12Strona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showGridLines="0" defaultGridColor="0" view="pageBreakPreview" zoomScaleSheetLayoutView="100" colorId="15" workbookViewId="0" topLeftCell="A1">
      <selection activeCell="F23" sqref="F23"/>
    </sheetView>
  </sheetViews>
  <sheetFormatPr defaultColWidth="9.00390625" defaultRowHeight="18" customHeight="1"/>
  <cols>
    <col min="1" max="1" width="6.00390625" style="37" customWidth="1"/>
    <col min="2" max="2" width="8.625" style="38" customWidth="1"/>
    <col min="3" max="3" width="6.00390625" style="38" customWidth="1"/>
    <col min="4" max="4" width="71.50390625" style="40" customWidth="1"/>
    <col min="5" max="5" width="12.625" style="41" customWidth="1"/>
    <col min="6" max="6" width="11.75390625" style="41" customWidth="1"/>
    <col min="7" max="7" width="12.125" style="41" customWidth="1"/>
    <col min="8" max="8" width="9.75390625" style="41" customWidth="1"/>
    <col min="9" max="9" width="12.125" style="41" customWidth="1"/>
    <col min="10" max="16384" width="9.00390625" style="38" customWidth="1"/>
  </cols>
  <sheetData>
    <row r="1" spans="1:9" ht="46.5" customHeight="1">
      <c r="A1" s="28" t="s">
        <v>240</v>
      </c>
      <c r="B1" s="28"/>
      <c r="C1" s="28"/>
      <c r="D1" s="28"/>
      <c r="E1" s="28"/>
      <c r="F1" s="28"/>
      <c r="G1" s="28"/>
      <c r="H1" s="28"/>
      <c r="I1" s="28"/>
    </row>
    <row r="2" spans="1:9" s="135" customFormat="1" ht="13.5" customHeight="1">
      <c r="A2" s="42" t="s">
        <v>66</v>
      </c>
      <c r="B2" s="42" t="s">
        <v>86</v>
      </c>
      <c r="C2" s="42" t="s">
        <v>87</v>
      </c>
      <c r="D2" s="42" t="s">
        <v>88</v>
      </c>
      <c r="E2" s="42" t="s">
        <v>89</v>
      </c>
      <c r="F2" s="43" t="s">
        <v>90</v>
      </c>
      <c r="G2" s="43"/>
      <c r="H2" s="43"/>
      <c r="I2" s="43"/>
    </row>
    <row r="3" spans="1:9" s="136" customFormat="1" ht="13.5" customHeight="1">
      <c r="A3" s="42"/>
      <c r="B3" s="42"/>
      <c r="C3" s="42"/>
      <c r="D3" s="42"/>
      <c r="E3" s="42"/>
      <c r="F3" s="42" t="s">
        <v>69</v>
      </c>
      <c r="G3" s="42" t="s">
        <v>90</v>
      </c>
      <c r="H3" s="42" t="s">
        <v>70</v>
      </c>
      <c r="I3" s="42" t="s">
        <v>90</v>
      </c>
    </row>
    <row r="4" spans="1:9" s="44" customFormat="1" ht="79.5" customHeight="1">
      <c r="A4" s="42"/>
      <c r="B4" s="42"/>
      <c r="C4" s="42"/>
      <c r="D4" s="42"/>
      <c r="E4" s="42"/>
      <c r="F4" s="42"/>
      <c r="G4" s="120" t="s">
        <v>91</v>
      </c>
      <c r="H4" s="42"/>
      <c r="I4" s="120" t="s">
        <v>91</v>
      </c>
    </row>
    <row r="5" spans="1:9" s="44" customFormat="1" ht="13.5" customHeigh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8">
        <v>7</v>
      </c>
      <c r="H5" s="48">
        <v>8</v>
      </c>
      <c r="I5" s="48">
        <v>9</v>
      </c>
    </row>
    <row r="6" spans="1:9" s="44" customFormat="1" ht="15.75" customHeight="1">
      <c r="A6" s="50">
        <v>400</v>
      </c>
      <c r="B6" s="50"/>
      <c r="C6" s="50"/>
      <c r="D6" s="50" t="s">
        <v>98</v>
      </c>
      <c r="E6" s="59">
        <f>E7</f>
        <v>676200</v>
      </c>
      <c r="F6" s="59">
        <f>F7</f>
        <v>0</v>
      </c>
      <c r="G6" s="59">
        <f>G7</f>
        <v>0</v>
      </c>
      <c r="H6" s="59">
        <f>H7</f>
        <v>676200</v>
      </c>
      <c r="I6" s="59">
        <f>I7</f>
        <v>676200</v>
      </c>
    </row>
    <row r="7" spans="1:9" s="44" customFormat="1" ht="15.75" customHeight="1">
      <c r="A7" s="60"/>
      <c r="B7" s="60">
        <v>40002</v>
      </c>
      <c r="C7" s="60"/>
      <c r="D7" s="61" t="s">
        <v>99</v>
      </c>
      <c r="E7" s="62">
        <f>E8</f>
        <v>676200</v>
      </c>
      <c r="F7" s="62">
        <f>F8</f>
        <v>0</v>
      </c>
      <c r="G7" s="62">
        <f>G8</f>
        <v>0</v>
      </c>
      <c r="H7" s="62">
        <f>H8</f>
        <v>676200</v>
      </c>
      <c r="I7" s="62">
        <f>I8</f>
        <v>676200</v>
      </c>
    </row>
    <row r="8" spans="1:9" s="44" customFormat="1" ht="56.25" customHeight="1">
      <c r="A8" s="60"/>
      <c r="B8" s="63"/>
      <c r="C8" s="63">
        <v>6207</v>
      </c>
      <c r="D8" s="64" t="s">
        <v>100</v>
      </c>
      <c r="E8" s="65">
        <f>F8+H8</f>
        <v>676200</v>
      </c>
      <c r="F8" s="65"/>
      <c r="G8" s="66"/>
      <c r="H8" s="65">
        <f>I8</f>
        <v>676200</v>
      </c>
      <c r="I8" s="65">
        <f>'zał 2'!I11</f>
        <v>676200</v>
      </c>
    </row>
    <row r="9" spans="1:9" ht="15.75" customHeight="1">
      <c r="A9" s="50">
        <v>600</v>
      </c>
      <c r="B9" s="50"/>
      <c r="C9" s="50"/>
      <c r="D9" s="50" t="s">
        <v>101</v>
      </c>
      <c r="E9" s="59">
        <f>E10</f>
        <v>1715413</v>
      </c>
      <c r="F9" s="59">
        <f>F10</f>
        <v>0</v>
      </c>
      <c r="G9" s="59">
        <f>G10</f>
        <v>0</v>
      </c>
      <c r="H9" s="59">
        <f>H10</f>
        <v>1715413</v>
      </c>
      <c r="I9" s="59">
        <f>I10</f>
        <v>1715413</v>
      </c>
    </row>
    <row r="10" spans="1:9" ht="18" customHeight="1">
      <c r="A10" s="60"/>
      <c r="B10" s="60">
        <v>60016</v>
      </c>
      <c r="C10" s="60"/>
      <c r="D10" s="69" t="s">
        <v>102</v>
      </c>
      <c r="E10" s="62">
        <f>E11</f>
        <v>1715413</v>
      </c>
      <c r="F10" s="62">
        <f>F11</f>
        <v>0</v>
      </c>
      <c r="G10" s="62">
        <f>G11</f>
        <v>0</v>
      </c>
      <c r="H10" s="62">
        <f>H11</f>
        <v>1715413</v>
      </c>
      <c r="I10" s="62">
        <f>I11</f>
        <v>1715413</v>
      </c>
    </row>
    <row r="11" spans="1:9" ht="56.25" customHeight="1">
      <c r="A11" s="60"/>
      <c r="B11" s="63"/>
      <c r="C11" s="111" t="s">
        <v>103</v>
      </c>
      <c r="D11" s="64" t="s">
        <v>100</v>
      </c>
      <c r="E11" s="65">
        <f>H11</f>
        <v>1715413</v>
      </c>
      <c r="F11" s="65"/>
      <c r="G11" s="65"/>
      <c r="H11" s="66">
        <f>I11</f>
        <v>1715413</v>
      </c>
      <c r="I11" s="66">
        <f>'zał 2'!I14</f>
        <v>1715413</v>
      </c>
    </row>
    <row r="12" spans="1:9" ht="15" customHeight="1">
      <c r="A12" s="49">
        <v>801</v>
      </c>
      <c r="B12" s="49"/>
      <c r="C12" s="49"/>
      <c r="D12" s="50" t="s">
        <v>180</v>
      </c>
      <c r="E12" s="80">
        <f>E13</f>
        <v>568271.29</v>
      </c>
      <c r="F12" s="80">
        <f>F13</f>
        <v>568271.29</v>
      </c>
      <c r="G12" s="80">
        <f>G13</f>
        <v>568271.29</v>
      </c>
      <c r="H12" s="80">
        <f>H13</f>
        <v>0</v>
      </c>
      <c r="I12" s="80">
        <f>I13</f>
        <v>0</v>
      </c>
    </row>
    <row r="13" spans="1:9" ht="15" customHeight="1">
      <c r="A13" s="87"/>
      <c r="B13" s="87">
        <v>80195</v>
      </c>
      <c r="C13" s="87"/>
      <c r="D13" s="88" t="s">
        <v>95</v>
      </c>
      <c r="E13" s="89">
        <f>E14</f>
        <v>568271.29</v>
      </c>
      <c r="F13" s="89">
        <f>F14</f>
        <v>568271.29</v>
      </c>
      <c r="G13" s="89">
        <f>G14</f>
        <v>568271.29</v>
      </c>
      <c r="H13" s="89">
        <f>H14</f>
        <v>0</v>
      </c>
      <c r="I13" s="89">
        <f>I14</f>
        <v>0</v>
      </c>
    </row>
    <row r="14" spans="1:9" ht="56.25" customHeight="1">
      <c r="A14" s="84"/>
      <c r="B14" s="85"/>
      <c r="C14" s="91" t="s">
        <v>193</v>
      </c>
      <c r="D14" s="92" t="s">
        <v>100</v>
      </c>
      <c r="E14" s="93">
        <f>F14</f>
        <v>568271.29</v>
      </c>
      <c r="F14" s="94">
        <f>G14</f>
        <v>568271.29</v>
      </c>
      <c r="G14" s="95">
        <f>263710.5+304560.79</f>
        <v>568271.29</v>
      </c>
      <c r="H14" s="93"/>
      <c r="I14" s="93"/>
    </row>
    <row r="15" spans="1:9" ht="15" customHeight="1">
      <c r="A15" s="100" t="s">
        <v>209</v>
      </c>
      <c r="B15" s="100"/>
      <c r="C15" s="101"/>
      <c r="D15" s="102" t="s">
        <v>210</v>
      </c>
      <c r="E15" s="103">
        <f>SUM(E16)</f>
        <v>175800</v>
      </c>
      <c r="F15" s="103">
        <f>SUM(F16)</f>
        <v>175800</v>
      </c>
      <c r="G15" s="103">
        <f>SUM(G16)</f>
        <v>175800</v>
      </c>
      <c r="H15" s="103">
        <f>SUM(H16)</f>
        <v>0</v>
      </c>
      <c r="I15" s="103">
        <f>SUM(I16)</f>
        <v>0</v>
      </c>
    </row>
    <row r="16" spans="1:9" ht="15.75" customHeight="1">
      <c r="A16" s="104"/>
      <c r="B16" s="104" t="s">
        <v>211</v>
      </c>
      <c r="C16" s="91"/>
      <c r="D16" s="105" t="s">
        <v>95</v>
      </c>
      <c r="E16" s="106">
        <f>E17</f>
        <v>175800</v>
      </c>
      <c r="F16" s="106">
        <f>F17</f>
        <v>175800</v>
      </c>
      <c r="G16" s="106">
        <f>G17</f>
        <v>175800</v>
      </c>
      <c r="H16" s="106">
        <f>H17</f>
        <v>0</v>
      </c>
      <c r="I16" s="106">
        <f>I17</f>
        <v>0</v>
      </c>
    </row>
    <row r="17" spans="1:9" ht="56.25" customHeight="1">
      <c r="A17" s="104"/>
      <c r="B17" s="104"/>
      <c r="C17" s="91" t="s">
        <v>193</v>
      </c>
      <c r="D17" s="92" t="s">
        <v>100</v>
      </c>
      <c r="E17" s="57">
        <f>F17</f>
        <v>175800</v>
      </c>
      <c r="F17" s="107">
        <f>'zał 2'!F120</f>
        <v>175800</v>
      </c>
      <c r="G17" s="107">
        <f>'zał 2'!G120</f>
        <v>175800</v>
      </c>
      <c r="H17" s="65"/>
      <c r="I17" s="65"/>
    </row>
    <row r="18" spans="1:9" ht="16.5" customHeight="1">
      <c r="A18" s="50">
        <v>926</v>
      </c>
      <c r="B18" s="50"/>
      <c r="C18" s="50"/>
      <c r="D18" s="112" t="s">
        <v>223</v>
      </c>
      <c r="E18" s="59">
        <f>E19</f>
        <v>1100000</v>
      </c>
      <c r="F18" s="59">
        <f>F19</f>
        <v>0</v>
      </c>
      <c r="G18" s="59">
        <f>G19</f>
        <v>0</v>
      </c>
      <c r="H18" s="59">
        <f>H19</f>
        <v>1100000</v>
      </c>
      <c r="I18" s="59">
        <f>I19</f>
        <v>1100000</v>
      </c>
    </row>
    <row r="19" spans="1:9" ht="15.75" customHeight="1">
      <c r="A19" s="60"/>
      <c r="B19" s="60">
        <v>92601</v>
      </c>
      <c r="C19" s="60"/>
      <c r="D19" s="69" t="s">
        <v>224</v>
      </c>
      <c r="E19" s="62">
        <f>E20</f>
        <v>1100000</v>
      </c>
      <c r="F19" s="62">
        <f>F20</f>
        <v>0</v>
      </c>
      <c r="G19" s="62">
        <f>G20</f>
        <v>0</v>
      </c>
      <c r="H19" s="62">
        <f>H20</f>
        <v>1100000</v>
      </c>
      <c r="I19" s="62">
        <f>I20</f>
        <v>1100000</v>
      </c>
    </row>
    <row r="20" spans="1:9" ht="56.25" customHeight="1">
      <c r="A20" s="60"/>
      <c r="B20" s="63"/>
      <c r="C20" s="111" t="s">
        <v>103</v>
      </c>
      <c r="D20" s="64" t="s">
        <v>100</v>
      </c>
      <c r="E20" s="65">
        <f>H20</f>
        <v>1100000</v>
      </c>
      <c r="F20" s="66"/>
      <c r="G20" s="66"/>
      <c r="H20" s="66">
        <f>I20</f>
        <v>1100000</v>
      </c>
      <c r="I20" s="66">
        <f>'zał 2'!I134</f>
        <v>1100000</v>
      </c>
    </row>
    <row r="21" spans="1:9" ht="18" customHeight="1">
      <c r="A21" s="137" t="s">
        <v>228</v>
      </c>
      <c r="B21" s="137"/>
      <c r="C21" s="137"/>
      <c r="D21" s="137"/>
      <c r="E21" s="138">
        <f>E18+E9+E6+E15+E12</f>
        <v>4235684.29</v>
      </c>
      <c r="F21" s="138">
        <f>F18+F9+F6+F15+F12</f>
        <v>744071.29</v>
      </c>
      <c r="G21" s="138">
        <f>G18+G9+G6+G15+G12</f>
        <v>744071.29</v>
      </c>
      <c r="H21" s="62">
        <f>H18+H9+H6+H15+H12</f>
        <v>3491613</v>
      </c>
      <c r="I21" s="62">
        <f>I18+I9+I6+I15+I12</f>
        <v>3491613</v>
      </c>
    </row>
    <row r="22" spans="1:9" ht="18" customHeight="1">
      <c r="A22" s="139"/>
      <c r="B22" s="139"/>
      <c r="C22" s="139"/>
      <c r="D22" s="140"/>
      <c r="E22" s="141"/>
      <c r="F22" s="141"/>
      <c r="G22" s="141"/>
      <c r="H22" s="141"/>
      <c r="I22" s="141"/>
    </row>
    <row r="23" spans="1:9" ht="18" customHeight="1">
      <c r="A23" s="139"/>
      <c r="B23" s="142"/>
      <c r="C23" s="142"/>
      <c r="D23" s="143"/>
      <c r="E23" s="144"/>
      <c r="F23" s="144"/>
      <c r="G23" s="144"/>
      <c r="H23" s="144"/>
      <c r="I23" s="145"/>
    </row>
    <row r="24" spans="1:9" ht="18" customHeight="1">
      <c r="A24" s="139"/>
      <c r="B24" s="142"/>
      <c r="C24" s="142"/>
      <c r="D24" s="143"/>
      <c r="E24" s="144"/>
      <c r="F24" s="144"/>
      <c r="G24" s="144"/>
      <c r="H24" s="144"/>
      <c r="I24" s="145"/>
    </row>
    <row r="25" spans="1:9" ht="32.25" customHeight="1">
      <c r="A25" s="139"/>
      <c r="B25" s="139"/>
      <c r="C25" s="139"/>
      <c r="D25" s="140"/>
      <c r="E25" s="141"/>
      <c r="F25" s="141"/>
      <c r="G25" s="141"/>
      <c r="H25" s="141"/>
      <c r="I25" s="141"/>
    </row>
    <row r="26" spans="1:9" ht="18" customHeight="1">
      <c r="A26" s="142"/>
      <c r="B26" s="142"/>
      <c r="C26" s="142"/>
      <c r="D26" s="143"/>
      <c r="E26" s="144"/>
      <c r="F26" s="144"/>
      <c r="G26" s="144"/>
      <c r="H26" s="144"/>
      <c r="I26" s="145"/>
    </row>
    <row r="27" spans="1:9" ht="18" customHeight="1">
      <c r="A27" s="142"/>
      <c r="B27" s="142"/>
      <c r="C27" s="142"/>
      <c r="D27" s="143"/>
      <c r="E27" s="144"/>
      <c r="F27" s="144"/>
      <c r="G27" s="144"/>
      <c r="H27" s="144"/>
      <c r="I27" s="145"/>
    </row>
    <row r="28" spans="1:9" ht="18" customHeight="1">
      <c r="A28" s="142"/>
      <c r="B28" s="142"/>
      <c r="C28" s="142"/>
      <c r="D28" s="143"/>
      <c r="E28" s="144"/>
      <c r="F28" s="144"/>
      <c r="G28" s="144"/>
      <c r="H28" s="144"/>
      <c r="I28" s="145"/>
    </row>
    <row r="29" spans="1:9" ht="18" customHeight="1">
      <c r="A29" s="146"/>
      <c r="B29" s="142"/>
      <c r="C29" s="142"/>
      <c r="D29" s="143"/>
      <c r="E29" s="144"/>
      <c r="F29" s="144"/>
      <c r="G29" s="144"/>
      <c r="H29" s="144"/>
      <c r="I29" s="145"/>
    </row>
    <row r="30" spans="1:9" ht="18" customHeight="1">
      <c r="A30" s="146"/>
      <c r="B30" s="142"/>
      <c r="C30" s="142"/>
      <c r="D30" s="143"/>
      <c r="E30" s="144"/>
      <c r="F30" s="144"/>
      <c r="G30" s="144"/>
      <c r="H30" s="144"/>
      <c r="I30" s="145"/>
    </row>
    <row r="31" spans="1:9" ht="18" customHeight="1">
      <c r="A31" s="146"/>
      <c r="B31" s="142"/>
      <c r="C31" s="142"/>
      <c r="D31" s="143"/>
      <c r="E31" s="144"/>
      <c r="F31" s="144"/>
      <c r="G31" s="144"/>
      <c r="H31" s="144"/>
      <c r="I31" s="145"/>
    </row>
    <row r="32" spans="1:9" ht="18" customHeight="1">
      <c r="A32" s="146"/>
      <c r="B32" s="142"/>
      <c r="C32" s="142"/>
      <c r="D32" s="143"/>
      <c r="E32" s="144"/>
      <c r="F32" s="144"/>
      <c r="G32" s="144"/>
      <c r="H32" s="144"/>
      <c r="I32" s="145"/>
    </row>
    <row r="33" spans="1:9" ht="18" customHeight="1">
      <c r="A33" s="146"/>
      <c r="B33" s="142"/>
      <c r="C33" s="142"/>
      <c r="D33" s="143"/>
      <c r="E33" s="144"/>
      <c r="F33" s="144"/>
      <c r="G33" s="144"/>
      <c r="H33" s="144"/>
      <c r="I33" s="145"/>
    </row>
    <row r="34" spans="1:9" ht="32.25" customHeight="1">
      <c r="A34" s="147"/>
      <c r="B34" s="139"/>
      <c r="C34" s="139"/>
      <c r="D34" s="140"/>
      <c r="E34" s="141"/>
      <c r="F34" s="141"/>
      <c r="G34" s="141"/>
      <c r="H34" s="141"/>
      <c r="I34" s="141"/>
    </row>
    <row r="35" spans="1:9" ht="18" customHeight="1">
      <c r="A35" s="146"/>
      <c r="B35" s="142"/>
      <c r="C35" s="142"/>
      <c r="D35" s="143"/>
      <c r="E35" s="144"/>
      <c r="F35" s="144"/>
      <c r="G35" s="144"/>
      <c r="H35" s="144"/>
      <c r="I35" s="145"/>
    </row>
    <row r="36" spans="1:9" ht="18" customHeight="1">
      <c r="A36" s="146"/>
      <c r="B36" s="142"/>
      <c r="C36" s="142"/>
      <c r="D36" s="143"/>
      <c r="E36" s="144"/>
      <c r="F36" s="144"/>
      <c r="G36" s="144"/>
      <c r="H36" s="144"/>
      <c r="I36" s="145"/>
    </row>
    <row r="37" spans="1:9" ht="18" customHeight="1">
      <c r="A37" s="146"/>
      <c r="B37" s="142"/>
      <c r="C37" s="142"/>
      <c r="D37" s="143"/>
      <c r="E37" s="144"/>
      <c r="F37" s="144"/>
      <c r="G37" s="144"/>
      <c r="H37" s="144"/>
      <c r="I37" s="145"/>
    </row>
    <row r="38" spans="1:9" ht="18" customHeight="1">
      <c r="A38" s="142"/>
      <c r="B38" s="142"/>
      <c r="C38" s="142"/>
      <c r="D38" s="143"/>
      <c r="E38" s="144"/>
      <c r="F38" s="144"/>
      <c r="G38" s="144"/>
      <c r="H38" s="144"/>
      <c r="I38" s="145"/>
    </row>
    <row r="39" spans="1:9" ht="18" customHeight="1">
      <c r="A39" s="146"/>
      <c r="B39" s="142"/>
      <c r="C39" s="142"/>
      <c r="D39" s="143"/>
      <c r="E39" s="144"/>
      <c r="F39" s="144"/>
      <c r="G39" s="144"/>
      <c r="H39" s="144"/>
      <c r="I39" s="145"/>
    </row>
    <row r="40" spans="1:9" ht="18" customHeight="1">
      <c r="A40" s="146"/>
      <c r="B40" s="142"/>
      <c r="C40" s="142"/>
      <c r="D40" s="143"/>
      <c r="E40" s="144"/>
      <c r="F40" s="144"/>
      <c r="G40" s="144"/>
      <c r="H40" s="144"/>
      <c r="I40" s="145"/>
    </row>
    <row r="41" spans="1:9" ht="18" customHeight="1">
      <c r="A41" s="146"/>
      <c r="B41" s="142"/>
      <c r="C41" s="142"/>
      <c r="D41" s="143"/>
      <c r="E41" s="144"/>
      <c r="F41" s="144"/>
      <c r="G41" s="144"/>
      <c r="H41" s="144"/>
      <c r="I41" s="145"/>
    </row>
    <row r="42" spans="1:9" ht="18" customHeight="1">
      <c r="A42" s="146"/>
      <c r="B42" s="142"/>
      <c r="C42" s="142"/>
      <c r="D42" s="143"/>
      <c r="E42" s="144"/>
      <c r="F42" s="144"/>
      <c r="G42" s="144"/>
      <c r="H42" s="144"/>
      <c r="I42" s="145"/>
    </row>
    <row r="43" spans="1:9" ht="18" customHeight="1">
      <c r="A43" s="142"/>
      <c r="B43" s="142"/>
      <c r="C43" s="142"/>
      <c r="D43" s="143"/>
      <c r="E43" s="144"/>
      <c r="F43" s="144"/>
      <c r="G43" s="144"/>
      <c r="H43" s="144"/>
      <c r="I43" s="145"/>
    </row>
    <row r="44" spans="1:9" ht="18" customHeight="1">
      <c r="A44" s="142"/>
      <c r="B44" s="142"/>
      <c r="C44" s="142"/>
      <c r="D44" s="143"/>
      <c r="E44" s="144"/>
      <c r="F44" s="144"/>
      <c r="G44" s="144"/>
      <c r="H44" s="144"/>
      <c r="I44" s="145"/>
    </row>
    <row r="45" spans="1:9" ht="32.25" customHeight="1">
      <c r="A45" s="139"/>
      <c r="B45" s="139"/>
      <c r="C45" s="139"/>
      <c r="D45" s="140"/>
      <c r="E45" s="141"/>
      <c r="F45" s="141"/>
      <c r="G45" s="141"/>
      <c r="H45" s="141"/>
      <c r="I45" s="141"/>
    </row>
    <row r="46" spans="1:9" ht="32.25" customHeight="1">
      <c r="A46" s="139"/>
      <c r="B46" s="142"/>
      <c r="C46" s="142"/>
      <c r="D46" s="143"/>
      <c r="E46" s="144"/>
      <c r="F46" s="144"/>
      <c r="G46" s="144"/>
      <c r="H46" s="144"/>
      <c r="I46" s="145"/>
    </row>
    <row r="47" spans="1:9" ht="18" customHeight="1">
      <c r="A47" s="139"/>
      <c r="B47" s="139"/>
      <c r="C47" s="139"/>
      <c r="D47" s="140"/>
      <c r="E47" s="141"/>
      <c r="F47" s="141"/>
      <c r="G47" s="141"/>
      <c r="H47" s="141"/>
      <c r="I47" s="141"/>
    </row>
    <row r="48" spans="1:9" ht="18" customHeight="1">
      <c r="A48" s="139"/>
      <c r="B48" s="142"/>
      <c r="C48" s="142"/>
      <c r="D48" s="143"/>
      <c r="E48" s="144"/>
      <c r="F48" s="144"/>
      <c r="G48" s="144"/>
      <c r="H48" s="144"/>
      <c r="I48" s="145"/>
    </row>
    <row r="49" spans="1:9" ht="18" customHeight="1">
      <c r="A49" s="139"/>
      <c r="B49" s="139"/>
      <c r="C49" s="139"/>
      <c r="D49" s="140"/>
      <c r="E49" s="141"/>
      <c r="F49" s="141"/>
      <c r="G49" s="141"/>
      <c r="H49" s="141"/>
      <c r="I49" s="141"/>
    </row>
    <row r="50" spans="5:7" ht="18" customHeight="1">
      <c r="E50" s="115"/>
      <c r="F50" s="115"/>
      <c r="G50" s="115"/>
    </row>
    <row r="52" spans="5:8" ht="18" customHeight="1">
      <c r="E52" s="115"/>
      <c r="F52" s="115"/>
      <c r="G52" s="115"/>
      <c r="H52" s="115"/>
    </row>
    <row r="53" spans="5:7" ht="18" customHeight="1">
      <c r="E53" s="115"/>
      <c r="F53" s="115"/>
      <c r="G53" s="115"/>
    </row>
    <row r="54" spans="5:7" ht="18" customHeight="1">
      <c r="E54" s="116"/>
      <c r="F54" s="116"/>
      <c r="G54" s="116"/>
    </row>
  </sheetData>
  <mergeCells count="10">
    <mergeCell ref="A1:I1"/>
    <mergeCell ref="A2:A4"/>
    <mergeCell ref="B2:B4"/>
    <mergeCell ref="C2:C4"/>
    <mergeCell ref="D2:D4"/>
    <mergeCell ref="E2:E4"/>
    <mergeCell ref="F2:I2"/>
    <mergeCell ref="F3:F4"/>
    <mergeCell ref="H3:H4"/>
    <mergeCell ref="A21:D21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87"/>
  <headerFooter alignWithMargins="0">
    <oddHeader>&amp;R&amp;"Times New Roman,Normalny"&amp;12Załącznik Nr 5 do projektu uchwały Nr .. Rady Miejskiej w Barlinku z dnia ........grudnia 2010</oddHeader>
    <oddFooter>&amp;C&amp;"Times New Roman,Normalny"&amp;12Strona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showGridLines="0" defaultGridColor="0" view="pageBreakPreview" zoomScaleSheetLayoutView="100" colorId="15" workbookViewId="0" topLeftCell="A1">
      <selection activeCell="I21" sqref="I21"/>
    </sheetView>
  </sheetViews>
  <sheetFormatPr defaultColWidth="12.00390625" defaultRowHeight="12.75"/>
  <cols>
    <col min="1" max="1" width="6.875" style="148" customWidth="1"/>
    <col min="2" max="2" width="56.125" style="149" customWidth="1"/>
    <col min="3" max="4" width="16.125" style="149" customWidth="1"/>
    <col min="5" max="5" width="16.125" style="150" customWidth="1"/>
    <col min="6" max="16384" width="11.625" style="151" customWidth="1"/>
  </cols>
  <sheetData>
    <row r="1" spans="1:5" ht="13.5" customHeight="1">
      <c r="A1" s="28" t="s">
        <v>241</v>
      </c>
      <c r="B1" s="28"/>
      <c r="C1" s="28"/>
      <c r="D1" s="28"/>
      <c r="E1" s="28"/>
    </row>
    <row r="2" spans="1:5" ht="18.75">
      <c r="A2" s="28"/>
      <c r="B2" s="28"/>
      <c r="C2" s="28"/>
      <c r="D2" s="28"/>
      <c r="E2" s="28"/>
    </row>
    <row r="3" spans="1:5" s="154" customFormat="1" ht="33" customHeight="1">
      <c r="A3" s="152" t="s">
        <v>66</v>
      </c>
      <c r="B3" s="153" t="s">
        <v>67</v>
      </c>
      <c r="C3" s="153" t="s">
        <v>68</v>
      </c>
      <c r="D3" s="153" t="s">
        <v>242</v>
      </c>
      <c r="E3" s="30" t="s">
        <v>243</v>
      </c>
    </row>
    <row r="4" spans="1:5" ht="16.5">
      <c r="A4" s="155" t="s">
        <v>244</v>
      </c>
      <c r="B4" s="156" t="str">
        <f>'zał 7'!D7</f>
        <v>Rolnictwo i łowiectwo</v>
      </c>
      <c r="C4" s="33">
        <f>D4+E4</f>
        <v>13184.08</v>
      </c>
      <c r="D4" s="33">
        <f>'zał 7'!F7</f>
        <v>13184.08</v>
      </c>
      <c r="E4" s="33">
        <f>'zał 7'!O7</f>
        <v>0</v>
      </c>
    </row>
    <row r="5" spans="1:5" ht="34.5" customHeight="1">
      <c r="A5" s="155" t="s">
        <v>71</v>
      </c>
      <c r="B5" s="156">
        <f>'zał 7'!D10</f>
        <v>0</v>
      </c>
      <c r="C5" s="33">
        <f>D5+E5</f>
        <v>1336200</v>
      </c>
      <c r="D5" s="33">
        <f>'zał 7'!F10</f>
        <v>8200</v>
      </c>
      <c r="E5" s="33">
        <f>'zał 7'!O10</f>
        <v>1328000</v>
      </c>
    </row>
    <row r="6" spans="1:5" ht="16.5">
      <c r="A6" s="155" t="s">
        <v>72</v>
      </c>
      <c r="B6" s="156" t="str">
        <f>'zał 7'!D16</f>
        <v>Transport  i  łączność</v>
      </c>
      <c r="C6" s="33">
        <f>D6+E6</f>
        <v>4853205</v>
      </c>
      <c r="D6" s="33">
        <f>'zał 7'!F16</f>
        <v>413492</v>
      </c>
      <c r="E6" s="33">
        <f>'zał 7'!O16</f>
        <v>4439713</v>
      </c>
    </row>
    <row r="7" spans="1:5" ht="16.5">
      <c r="A7" s="155" t="s">
        <v>73</v>
      </c>
      <c r="B7" s="156" t="str">
        <f>'zał 7'!D29</f>
        <v>Gospodarka  mieszkaniowa</v>
      </c>
      <c r="C7" s="33">
        <f>D7+E7</f>
        <v>579557</v>
      </c>
      <c r="D7" s="33">
        <f>'zał 7'!F29</f>
        <v>579557</v>
      </c>
      <c r="E7" s="33">
        <f>'zał 7'!O29</f>
        <v>0</v>
      </c>
    </row>
    <row r="8" spans="1:5" ht="16.5">
      <c r="A8" s="155" t="s">
        <v>74</v>
      </c>
      <c r="B8" s="156" t="str">
        <f>'zał 7'!D38</f>
        <v>Działalność  usługowa</v>
      </c>
      <c r="C8" s="33">
        <f>D8+E8</f>
        <v>412590</v>
      </c>
      <c r="D8" s="33">
        <f>'zał 7'!F38+'zał 9'!F7</f>
        <v>412590</v>
      </c>
      <c r="E8" s="33">
        <f>'zał 7'!O38+'zał 9'!O7</f>
        <v>0</v>
      </c>
    </row>
    <row r="9" spans="1:5" ht="16.5">
      <c r="A9" s="155" t="s">
        <v>75</v>
      </c>
      <c r="B9" s="156" t="str">
        <f>'zał 7'!D47</f>
        <v>Administracja  publiczna</v>
      </c>
      <c r="C9" s="33">
        <f>D9+E9</f>
        <v>4291582.835200001</v>
      </c>
      <c r="D9" s="33">
        <f>'zał 7'!F47+'zał 8'!F7</f>
        <v>4291582.835200001</v>
      </c>
      <c r="E9" s="33">
        <f>'zał 7'!O47+'zał 8'!O7</f>
        <v>0</v>
      </c>
    </row>
    <row r="10" spans="1:5" ht="29.25">
      <c r="A10" s="155" t="s">
        <v>76</v>
      </c>
      <c r="B10" s="156" t="str">
        <f>'zał 8'!D13</f>
        <v>Urzędy naczelnych organów władzy  państwowej, kontroli i ochrony prawa oraz sądownictwa  </v>
      </c>
      <c r="C10" s="33">
        <f>'zał 8'!E14</f>
        <v>3270</v>
      </c>
      <c r="D10" s="33">
        <f>'zał 8'!F14</f>
        <v>3270</v>
      </c>
      <c r="E10" s="33">
        <f>'zał 7'!O48+'zał 8'!O8</f>
        <v>0</v>
      </c>
    </row>
    <row r="11" spans="1:5" ht="16.5">
      <c r="A11" s="155" t="s">
        <v>245</v>
      </c>
      <c r="B11" s="156" t="str">
        <f>'zał 7'!D84</f>
        <v>Bezpieczeństwo publiczne   i  ochrona  przeciwpożarowa</v>
      </c>
      <c r="C11" s="33">
        <f>D11+E11</f>
        <v>967000</v>
      </c>
      <c r="D11" s="33">
        <f>'zał 7'!F84</f>
        <v>267000</v>
      </c>
      <c r="E11" s="33">
        <f>'zał 7'!O84</f>
        <v>700000</v>
      </c>
    </row>
    <row r="12" spans="1:5" ht="43.5">
      <c r="A12" s="155" t="s">
        <v>77</v>
      </c>
      <c r="B12" s="157" t="str">
        <f>'zał 7'!D98</f>
        <v>Dochody od osób prawnych,od osób fizycznych i od innych jednostek nie posiadających osobowości prawnej oraz wydatki związane z ich poborem </v>
      </c>
      <c r="C12" s="33">
        <f>D12+E12</f>
        <v>46000</v>
      </c>
      <c r="D12" s="33">
        <f>'zał 7'!F98</f>
        <v>46000</v>
      </c>
      <c r="E12" s="33">
        <f>'zał 7'!O98</f>
        <v>0</v>
      </c>
    </row>
    <row r="13" spans="1:5" ht="16.5">
      <c r="A13" s="155" t="s">
        <v>246</v>
      </c>
      <c r="B13" s="157" t="str">
        <f>'zał 7'!D102</f>
        <v>Obsługa  długu  publicznego</v>
      </c>
      <c r="C13" s="33">
        <f>D13+E13</f>
        <v>1498024</v>
      </c>
      <c r="D13" s="33">
        <f>'zał 7'!F102</f>
        <v>1498024</v>
      </c>
      <c r="E13" s="33">
        <f>'zał 7'!O102</f>
        <v>0</v>
      </c>
    </row>
    <row r="14" spans="1:5" ht="16.5">
      <c r="A14" s="155" t="s">
        <v>78</v>
      </c>
      <c r="B14" s="156" t="str">
        <f>'zał 7'!D106</f>
        <v>Różne  rozliczenia</v>
      </c>
      <c r="C14" s="33">
        <f>D14+E14</f>
        <v>380000</v>
      </c>
      <c r="D14" s="33">
        <f>'zał 7'!F106</f>
        <v>380000</v>
      </c>
      <c r="E14" s="33">
        <f>'zał 7'!O106</f>
        <v>0</v>
      </c>
    </row>
    <row r="15" spans="1:5" ht="16.5">
      <c r="A15" s="155" t="s">
        <v>79</v>
      </c>
      <c r="B15" s="156" t="str">
        <f>'zał 7'!D111</f>
        <v>Oświata  i  wychowanie</v>
      </c>
      <c r="C15" s="33">
        <f>D15+E15</f>
        <v>21924975.9875</v>
      </c>
      <c r="D15" s="33">
        <f>'zał 7'!F111</f>
        <v>21124975.9875</v>
      </c>
      <c r="E15" s="33">
        <f>'zał 7'!O111</f>
        <v>800000</v>
      </c>
    </row>
    <row r="16" spans="1:5" ht="16.5">
      <c r="A16" s="155" t="s">
        <v>247</v>
      </c>
      <c r="B16" s="156" t="str">
        <f>'zał 7'!D224</f>
        <v>Szkolnictwo wyższe</v>
      </c>
      <c r="C16" s="33">
        <f>'zał 7'!E224</f>
        <v>10000</v>
      </c>
      <c r="D16" s="33">
        <f>'zał 7'!F224</f>
        <v>0</v>
      </c>
      <c r="E16" s="33">
        <f>'zał 7'!O224</f>
        <v>10000</v>
      </c>
    </row>
    <row r="17" spans="1:5" ht="16.5">
      <c r="A17" s="155" t="s">
        <v>248</v>
      </c>
      <c r="B17" s="156" t="str">
        <f>'zał 7'!D227</f>
        <v>Ochrona  zdrowia</v>
      </c>
      <c r="C17" s="33">
        <f>D17+E17</f>
        <v>336661</v>
      </c>
      <c r="D17" s="33">
        <f>'zał 7'!F227</f>
        <v>336661</v>
      </c>
      <c r="E17" s="33">
        <f>'zał 7'!O227</f>
        <v>0</v>
      </c>
    </row>
    <row r="18" spans="1:5" ht="16.5">
      <c r="A18" s="155" t="s">
        <v>80</v>
      </c>
      <c r="B18" s="156" t="str">
        <f>'zał 7'!D247</f>
        <v>Pomoc społeczna</v>
      </c>
      <c r="C18" s="33">
        <f>D18+E18</f>
        <v>9267958.0036</v>
      </c>
      <c r="D18" s="33">
        <f>'zał 7'!F247+'zał 8'!F17</f>
        <v>9267958.0036</v>
      </c>
      <c r="E18" s="33">
        <f>'zał 7'!O247+'zał 8'!O17</f>
        <v>0</v>
      </c>
    </row>
    <row r="19" spans="1:5" ht="16.5">
      <c r="A19" s="155" t="s">
        <v>209</v>
      </c>
      <c r="B19" s="156" t="str">
        <f>'zał 7'!D292</f>
        <v>Pozostałe zadania z zakresu polityki społecznej</v>
      </c>
      <c r="C19" s="33">
        <f>'zał 7'!E292</f>
        <v>219000</v>
      </c>
      <c r="D19" s="33">
        <f>'zał 7'!F292</f>
        <v>219000</v>
      </c>
      <c r="E19" s="33"/>
    </row>
    <row r="20" spans="1:5" ht="16.5">
      <c r="A20" s="155" t="s">
        <v>249</v>
      </c>
      <c r="B20" s="156" t="str">
        <f>'zał 7'!D309</f>
        <v>Edukacyjna  opieka  wychowawcza</v>
      </c>
      <c r="C20" s="33">
        <f>D20+E20</f>
        <v>50320</v>
      </c>
      <c r="D20" s="33">
        <f>'zał 7'!F309</f>
        <v>50320</v>
      </c>
      <c r="E20" s="33">
        <f>'zał 7'!O309</f>
        <v>0</v>
      </c>
    </row>
    <row r="21" spans="1:5" ht="16.5">
      <c r="A21" s="155" t="s">
        <v>81</v>
      </c>
      <c r="B21" s="156" t="str">
        <f>'zał 7'!D313</f>
        <v>Gospodarka  komunalna  i  ochrona  środowiska</v>
      </c>
      <c r="C21" s="33">
        <f>D21+E21</f>
        <v>1910404</v>
      </c>
      <c r="D21" s="33">
        <f>'zał 7'!F313</f>
        <v>1835404</v>
      </c>
      <c r="E21" s="33">
        <f>'zał 7'!O313</f>
        <v>75000</v>
      </c>
    </row>
    <row r="22" spans="1:5" ht="16.5">
      <c r="A22" s="155" t="s">
        <v>82</v>
      </c>
      <c r="B22" s="156" t="str">
        <f>'zał 7'!D342</f>
        <v>Kultura  i  ochrona  dziedzictwa  narodowego </v>
      </c>
      <c r="C22" s="33">
        <f>D22+E22</f>
        <v>1511011</v>
      </c>
      <c r="D22" s="33">
        <f>'zał 7'!F342</f>
        <v>1511011</v>
      </c>
      <c r="E22" s="33">
        <f>'zał 7'!O342</f>
        <v>0</v>
      </c>
    </row>
    <row r="23" spans="1:5" ht="16.5">
      <c r="A23" s="155" t="s">
        <v>83</v>
      </c>
      <c r="B23" s="156" t="str">
        <f>'zał 7'!D357</f>
        <v>Kultura fizyczna</v>
      </c>
      <c r="C23" s="33">
        <f>D23+E23</f>
        <v>5304180</v>
      </c>
      <c r="D23" s="33">
        <f>'zał 7'!F357</f>
        <v>404180</v>
      </c>
      <c r="E23" s="33">
        <f>'zał 7'!O357</f>
        <v>4900000</v>
      </c>
    </row>
    <row r="24" spans="1:5" s="159" customFormat="1" ht="16.5" customHeight="1">
      <c r="A24" s="158" t="s">
        <v>84</v>
      </c>
      <c r="B24" s="158"/>
      <c r="C24" s="35">
        <f>SUM(C4:C23)</f>
        <v>54915122.9063</v>
      </c>
      <c r="D24" s="35">
        <f>SUM(D4:D23)</f>
        <v>42662409.9063</v>
      </c>
      <c r="E24" s="35">
        <f>SUM(E4:E23)</f>
        <v>12252713</v>
      </c>
    </row>
  </sheetData>
  <mergeCells count="2">
    <mergeCell ref="A1:E1"/>
    <mergeCell ref="A24:B24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portrait" paperSize="9" scale="82"/>
  <headerFooter alignWithMargins="0">
    <oddHeader>&amp;R&amp;"Times New Roman,Normalny"&amp;12Załącznik Nr 6 do projektu uchwały Nr . Rady Gminy w Barlinku z dnia ........grudnia 2010</oddHeader>
    <oddFooter>&amp;C&amp;"Times New Roman,Normalny"&amp;12Strona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75"/>
  <sheetViews>
    <sheetView showGridLines="0" defaultGridColor="0" view="pageBreakPreview" zoomScaleSheetLayoutView="100" colorId="15" workbookViewId="0" topLeftCell="C1">
      <pane ySplit="6" topLeftCell="A208" activePane="bottomLeft" state="frozen"/>
      <selection pane="topLeft" activeCell="C1" sqref="C1"/>
      <selection pane="bottomLeft" activeCell="H220" sqref="H220"/>
    </sheetView>
  </sheetViews>
  <sheetFormatPr defaultColWidth="9.00390625" defaultRowHeight="12.75"/>
  <cols>
    <col min="1" max="1" width="10.25390625" style="160" customWidth="1"/>
    <col min="2" max="2" width="13.875" style="160" customWidth="1"/>
    <col min="3" max="3" width="12.375" style="161" customWidth="1"/>
    <col min="4" max="4" width="80.125" style="162" customWidth="1"/>
    <col min="5" max="5" width="24.75390625" style="163" customWidth="1"/>
    <col min="6" max="6" width="19.25390625" style="163" customWidth="1"/>
    <col min="7" max="8" width="19.00390625" style="163" customWidth="1"/>
    <col min="9" max="9" width="19.125" style="163" customWidth="1"/>
    <col min="10" max="10" width="18.125" style="163" customWidth="1"/>
    <col min="11" max="11" width="14.00390625" style="163" customWidth="1"/>
    <col min="12" max="12" width="16.375" style="163" customWidth="1"/>
    <col min="13" max="13" width="16.625" style="163" customWidth="1"/>
    <col min="14" max="14" width="14.00390625" style="163" customWidth="1"/>
    <col min="15" max="15" width="17.75390625" style="163" customWidth="1"/>
    <col min="16" max="16" width="20.50390625" style="164" customWidth="1"/>
    <col min="17" max="17" width="16.625" style="164" customWidth="1"/>
    <col min="18" max="18" width="14.00390625" style="163" customWidth="1"/>
    <col min="19" max="19" width="16.75390625" style="165" customWidth="1"/>
    <col min="20" max="16384" width="9.00390625" style="165" customWidth="1"/>
  </cols>
  <sheetData>
    <row r="1" spans="1:18" s="167" customFormat="1" ht="65.25" customHeight="1">
      <c r="A1" s="166" t="s">
        <v>250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5" customHeight="1">
      <c r="A2" s="168" t="s">
        <v>66</v>
      </c>
      <c r="B2" s="168" t="s">
        <v>86</v>
      </c>
      <c r="C2" s="168" t="s">
        <v>87</v>
      </c>
      <c r="D2" s="168" t="s">
        <v>251</v>
      </c>
      <c r="E2" s="168" t="s">
        <v>252</v>
      </c>
      <c r="F2" s="169" t="s">
        <v>253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173" customFormat="1" ht="12" customHeight="1">
      <c r="A3" s="168"/>
      <c r="B3" s="168"/>
      <c r="C3" s="168"/>
      <c r="D3" s="168"/>
      <c r="E3" s="168"/>
      <c r="F3" s="170" t="s">
        <v>242</v>
      </c>
      <c r="G3" s="171" t="s">
        <v>90</v>
      </c>
      <c r="H3" s="171"/>
      <c r="I3" s="171"/>
      <c r="J3" s="171"/>
      <c r="K3" s="171"/>
      <c r="L3" s="171"/>
      <c r="M3" s="171"/>
      <c r="N3" s="171"/>
      <c r="O3" s="172" t="s">
        <v>254</v>
      </c>
      <c r="P3" s="171" t="s">
        <v>90</v>
      </c>
      <c r="Q3" s="171"/>
      <c r="R3" s="171"/>
    </row>
    <row r="4" spans="1:18" s="173" customFormat="1" ht="12.75" customHeight="1">
      <c r="A4" s="168"/>
      <c r="B4" s="168"/>
      <c r="C4" s="168"/>
      <c r="D4" s="168"/>
      <c r="E4" s="168"/>
      <c r="F4" s="170"/>
      <c r="G4" s="170" t="s">
        <v>255</v>
      </c>
      <c r="H4" s="171" t="s">
        <v>13</v>
      </c>
      <c r="I4" s="171"/>
      <c r="J4" s="172" t="s">
        <v>256</v>
      </c>
      <c r="K4" s="172" t="s">
        <v>257</v>
      </c>
      <c r="L4" s="172" t="s">
        <v>91</v>
      </c>
      <c r="M4" s="172" t="s">
        <v>258</v>
      </c>
      <c r="N4" s="172" t="s">
        <v>259</v>
      </c>
      <c r="O4" s="172"/>
      <c r="P4" s="172" t="s">
        <v>260</v>
      </c>
      <c r="Q4" s="171" t="s">
        <v>90</v>
      </c>
      <c r="R4" s="172" t="s">
        <v>261</v>
      </c>
    </row>
    <row r="5" spans="1:18" s="174" customFormat="1" ht="95.25" customHeight="1">
      <c r="A5" s="168"/>
      <c r="B5" s="168"/>
      <c r="C5" s="168"/>
      <c r="D5" s="168"/>
      <c r="E5" s="168"/>
      <c r="F5" s="170"/>
      <c r="G5" s="170"/>
      <c r="H5" s="172" t="s">
        <v>262</v>
      </c>
      <c r="I5" s="172" t="s">
        <v>263</v>
      </c>
      <c r="J5" s="172"/>
      <c r="K5" s="172"/>
      <c r="L5" s="172"/>
      <c r="M5" s="172"/>
      <c r="N5" s="172"/>
      <c r="O5" s="172"/>
      <c r="P5" s="172"/>
      <c r="Q5" s="170" t="s">
        <v>264</v>
      </c>
      <c r="R5" s="172"/>
    </row>
    <row r="6" spans="1:18" s="179" customFormat="1" ht="12">
      <c r="A6" s="175">
        <v>1</v>
      </c>
      <c r="B6" s="175">
        <v>2</v>
      </c>
      <c r="C6" s="176">
        <v>3</v>
      </c>
      <c r="D6" s="176">
        <v>4</v>
      </c>
      <c r="E6" s="177">
        <v>5</v>
      </c>
      <c r="F6" s="178">
        <v>6</v>
      </c>
      <c r="G6" s="178">
        <v>7</v>
      </c>
      <c r="H6" s="178">
        <v>8</v>
      </c>
      <c r="I6" s="178">
        <v>9</v>
      </c>
      <c r="J6" s="178">
        <v>10</v>
      </c>
      <c r="K6" s="178">
        <v>11</v>
      </c>
      <c r="L6" s="178">
        <v>12</v>
      </c>
      <c r="M6" s="178">
        <v>13</v>
      </c>
      <c r="N6" s="178">
        <v>14</v>
      </c>
      <c r="O6" s="178">
        <v>15</v>
      </c>
      <c r="P6" s="178">
        <v>16</v>
      </c>
      <c r="Q6" s="178">
        <v>17</v>
      </c>
      <c r="R6" s="178">
        <v>18</v>
      </c>
    </row>
    <row r="7" spans="1:18" ht="33.75" customHeight="1">
      <c r="A7" s="180" t="s">
        <v>244</v>
      </c>
      <c r="B7" s="180"/>
      <c r="C7" s="181"/>
      <c r="D7" s="181" t="s">
        <v>265</v>
      </c>
      <c r="E7" s="182">
        <f>E8</f>
        <v>13184.08</v>
      </c>
      <c r="F7" s="182">
        <f>F8</f>
        <v>13184.08</v>
      </c>
      <c r="G7" s="182">
        <f>G8</f>
        <v>0</v>
      </c>
      <c r="H7" s="182">
        <f>H8</f>
        <v>0</v>
      </c>
      <c r="I7" s="182">
        <f>I8</f>
        <v>0</v>
      </c>
      <c r="J7" s="182">
        <f>J8</f>
        <v>13184.08</v>
      </c>
      <c r="K7" s="182">
        <f>K8</f>
        <v>0</v>
      </c>
      <c r="L7" s="182">
        <f>L8</f>
        <v>0</v>
      </c>
      <c r="M7" s="182">
        <f>M8</f>
        <v>0</v>
      </c>
      <c r="N7" s="182">
        <f>N8</f>
        <v>0</v>
      </c>
      <c r="O7" s="182">
        <f>O8</f>
        <v>0</v>
      </c>
      <c r="P7" s="182">
        <f>P8</f>
        <v>0</v>
      </c>
      <c r="Q7" s="182">
        <f>Q8</f>
        <v>0</v>
      </c>
      <c r="R7" s="182">
        <f>R8</f>
        <v>0</v>
      </c>
    </row>
    <row r="8" spans="1:18" ht="22.5" customHeight="1">
      <c r="A8" s="183"/>
      <c r="B8" s="183" t="s">
        <v>266</v>
      </c>
      <c r="C8" s="184"/>
      <c r="D8" s="185" t="s">
        <v>267</v>
      </c>
      <c r="E8" s="186">
        <f>E9</f>
        <v>13184.08</v>
      </c>
      <c r="F8" s="186">
        <f>F9</f>
        <v>13184.08</v>
      </c>
      <c r="G8" s="186">
        <f>G9</f>
        <v>0</v>
      </c>
      <c r="H8" s="186">
        <f>H9</f>
        <v>0</v>
      </c>
      <c r="I8" s="186">
        <f>I9</f>
        <v>0</v>
      </c>
      <c r="J8" s="186">
        <f>J9</f>
        <v>13184.08</v>
      </c>
      <c r="K8" s="186">
        <f>K9</f>
        <v>0</v>
      </c>
      <c r="L8" s="186">
        <f>L9</f>
        <v>0</v>
      </c>
      <c r="M8" s="186">
        <f>M9</f>
        <v>0</v>
      </c>
      <c r="N8" s="186">
        <f>N9</f>
        <v>0</v>
      </c>
      <c r="O8" s="186">
        <f>O9</f>
        <v>0</v>
      </c>
      <c r="P8" s="186">
        <f>P9</f>
        <v>0</v>
      </c>
      <c r="Q8" s="186">
        <f>Q9</f>
        <v>0</v>
      </c>
      <c r="R8" s="186">
        <f>R9</f>
        <v>0</v>
      </c>
    </row>
    <row r="9" spans="1:18" ht="36.75" customHeight="1">
      <c r="A9" s="184"/>
      <c r="B9" s="187" t="s">
        <v>217</v>
      </c>
      <c r="C9" s="188">
        <v>2850</v>
      </c>
      <c r="D9" s="187" t="s">
        <v>268</v>
      </c>
      <c r="E9" s="189">
        <f>F9+O9</f>
        <v>13184.08</v>
      </c>
      <c r="F9" s="189">
        <f>G9+K9+L9+J9+N9+M9</f>
        <v>13184.08</v>
      </c>
      <c r="G9" s="189">
        <f>H9+I9</f>
        <v>0</v>
      </c>
      <c r="H9" s="190"/>
      <c r="I9" s="190"/>
      <c r="J9" s="191">
        <f>('zał 2'!E38+'zał 2'!E47)*0.02</f>
        <v>13184.08</v>
      </c>
      <c r="K9" s="190"/>
      <c r="L9" s="190"/>
      <c r="M9" s="190"/>
      <c r="N9" s="190"/>
      <c r="O9" s="190">
        <f>P9+R9</f>
        <v>0</v>
      </c>
      <c r="P9" s="192"/>
      <c r="Q9" s="192"/>
      <c r="R9" s="190"/>
    </row>
    <row r="10" spans="1:18" ht="39" customHeight="1">
      <c r="A10" s="181">
        <v>400</v>
      </c>
      <c r="B10" s="181"/>
      <c r="C10" s="181"/>
      <c r="D10" s="181" t="s">
        <v>98</v>
      </c>
      <c r="E10" s="182">
        <f>E11</f>
        <v>1336200</v>
      </c>
      <c r="F10" s="182">
        <f>F11</f>
        <v>8200</v>
      </c>
      <c r="G10" s="182">
        <f>G11</f>
        <v>8200</v>
      </c>
      <c r="H10" s="182">
        <f>H11</f>
        <v>0</v>
      </c>
      <c r="I10" s="182">
        <f>I11</f>
        <v>8200</v>
      </c>
      <c r="J10" s="182">
        <f>J11</f>
        <v>0</v>
      </c>
      <c r="K10" s="182">
        <f>K11</f>
        <v>0</v>
      </c>
      <c r="L10" s="182">
        <f>L11</f>
        <v>0</v>
      </c>
      <c r="M10" s="182">
        <f>M11</f>
        <v>0</v>
      </c>
      <c r="N10" s="182">
        <f>N11</f>
        <v>0</v>
      </c>
      <c r="O10" s="182">
        <f>O11</f>
        <v>1328000</v>
      </c>
      <c r="P10" s="182">
        <f>P11</f>
        <v>1328000</v>
      </c>
      <c r="Q10" s="182">
        <f>Q11</f>
        <v>676200</v>
      </c>
      <c r="R10" s="182">
        <f>R11</f>
        <v>0</v>
      </c>
    </row>
    <row r="11" spans="1:18" ht="22.5" customHeight="1">
      <c r="A11" s="184"/>
      <c r="B11" s="184">
        <v>40002</v>
      </c>
      <c r="C11" s="184"/>
      <c r="D11" s="185" t="s">
        <v>99</v>
      </c>
      <c r="E11" s="186">
        <f>SUM(E12:E15)</f>
        <v>1336200</v>
      </c>
      <c r="F11" s="186">
        <f>SUM(F12:F15)</f>
        <v>8200</v>
      </c>
      <c r="G11" s="186">
        <f>SUM(G12:G15)</f>
        <v>8200</v>
      </c>
      <c r="H11" s="186">
        <f>SUM(H12:H15)</f>
        <v>0</v>
      </c>
      <c r="I11" s="186">
        <f>SUM(I12:I15)</f>
        <v>8200</v>
      </c>
      <c r="J11" s="186">
        <f>SUM(J12:J15)</f>
        <v>0</v>
      </c>
      <c r="K11" s="186">
        <f>SUM(K12:K15)</f>
        <v>0</v>
      </c>
      <c r="L11" s="186">
        <f>SUM(L12:L15)</f>
        <v>0</v>
      </c>
      <c r="M11" s="186">
        <f>SUM(M12:M15)</f>
        <v>0</v>
      </c>
      <c r="N11" s="186">
        <f>SUM(N12:N15)</f>
        <v>0</v>
      </c>
      <c r="O11" s="186">
        <f>SUM(O12:O15)</f>
        <v>1328000</v>
      </c>
      <c r="P11" s="186">
        <f>SUM(P12:P15)</f>
        <v>1328000</v>
      </c>
      <c r="Q11" s="186">
        <f>SUM(Q12:Q15)</f>
        <v>676200</v>
      </c>
      <c r="R11" s="186">
        <f>SUM(R12:R15)</f>
        <v>0</v>
      </c>
    </row>
    <row r="12" spans="1:18" ht="22.5" customHeight="1">
      <c r="A12" s="184"/>
      <c r="B12" s="188"/>
      <c r="C12" s="188">
        <v>4300</v>
      </c>
      <c r="D12" s="187" t="s">
        <v>269</v>
      </c>
      <c r="E12" s="189">
        <f>F12+O12</f>
        <v>8200</v>
      </c>
      <c r="F12" s="189">
        <f>G12+K12+L12+J12+N12+M12</f>
        <v>8200</v>
      </c>
      <c r="G12" s="189">
        <f>H12+I12</f>
        <v>8200</v>
      </c>
      <c r="H12" s="190"/>
      <c r="I12" s="191">
        <v>8200</v>
      </c>
      <c r="J12" s="190"/>
      <c r="K12" s="190"/>
      <c r="L12" s="190"/>
      <c r="M12" s="190"/>
      <c r="N12" s="190"/>
      <c r="O12" s="190">
        <f>P12+R12</f>
        <v>0</v>
      </c>
      <c r="P12" s="190"/>
      <c r="Q12" s="190"/>
      <c r="R12" s="190"/>
    </row>
    <row r="13" spans="1:18" ht="22.5" customHeight="1">
      <c r="A13" s="184"/>
      <c r="B13" s="188"/>
      <c r="C13" s="188">
        <v>6050</v>
      </c>
      <c r="D13" s="187" t="s">
        <v>270</v>
      </c>
      <c r="E13" s="189">
        <f>F13+O13</f>
        <v>178000</v>
      </c>
      <c r="F13" s="189">
        <f>G13+K13+L13+J13+N13+M13</f>
        <v>0</v>
      </c>
      <c r="G13" s="189">
        <f>H13+I13</f>
        <v>0</v>
      </c>
      <c r="H13" s="190"/>
      <c r="I13" s="190"/>
      <c r="J13" s="190"/>
      <c r="K13" s="190"/>
      <c r="L13" s="190"/>
      <c r="M13" s="190"/>
      <c r="N13" s="190"/>
      <c r="O13" s="190">
        <f>P13+R13</f>
        <v>178000</v>
      </c>
      <c r="P13" s="191">
        <f>'zał 11'!E7</f>
        <v>178000</v>
      </c>
      <c r="Q13" s="193"/>
      <c r="R13" s="193"/>
    </row>
    <row r="14" spans="1:18" ht="22.5" customHeight="1">
      <c r="A14" s="184"/>
      <c r="B14" s="188"/>
      <c r="C14" s="188">
        <v>6057</v>
      </c>
      <c r="D14" s="187" t="s">
        <v>270</v>
      </c>
      <c r="E14" s="189">
        <f>F14+O14</f>
        <v>676200</v>
      </c>
      <c r="F14" s="189">
        <f>G14+K14+L14+J14+N14+M14</f>
        <v>0</v>
      </c>
      <c r="G14" s="189">
        <f>H14+I14</f>
        <v>0</v>
      </c>
      <c r="H14" s="190"/>
      <c r="I14" s="190"/>
      <c r="J14" s="190"/>
      <c r="K14" s="190"/>
      <c r="L14" s="190"/>
      <c r="M14" s="190"/>
      <c r="N14" s="190"/>
      <c r="O14" s="190">
        <f>P14+R14</f>
        <v>676200</v>
      </c>
      <c r="P14" s="191">
        <f>Q14</f>
        <v>676200</v>
      </c>
      <c r="Q14" s="191">
        <f>'zał 11'!E10</f>
        <v>676200</v>
      </c>
      <c r="R14" s="193"/>
    </row>
    <row r="15" spans="1:18" ht="22.5" customHeight="1">
      <c r="A15" s="184"/>
      <c r="B15" s="188"/>
      <c r="C15" s="188">
        <v>6059</v>
      </c>
      <c r="D15" s="187" t="s">
        <v>270</v>
      </c>
      <c r="E15" s="189">
        <f>F15+O15</f>
        <v>473800</v>
      </c>
      <c r="F15" s="189">
        <f>G15+K15+L15+J15+N15+M15</f>
        <v>0</v>
      </c>
      <c r="G15" s="189">
        <f>H15+I15</f>
        <v>0</v>
      </c>
      <c r="H15" s="190"/>
      <c r="I15" s="190"/>
      <c r="J15" s="190"/>
      <c r="K15" s="190"/>
      <c r="L15" s="190"/>
      <c r="M15" s="190"/>
      <c r="N15" s="190"/>
      <c r="O15" s="190">
        <f>P15+R15</f>
        <v>473800</v>
      </c>
      <c r="P15" s="193">
        <f>'zał 11'!E12</f>
        <v>473800</v>
      </c>
      <c r="Q15" s="194"/>
      <c r="R15" s="193"/>
    </row>
    <row r="16" spans="1:18" ht="32.25" customHeight="1">
      <c r="A16" s="181">
        <v>600</v>
      </c>
      <c r="B16" s="181"/>
      <c r="C16" s="181"/>
      <c r="D16" s="181" t="s">
        <v>101</v>
      </c>
      <c r="E16" s="182">
        <f>E19+E26+E17</f>
        <v>4853205</v>
      </c>
      <c r="F16" s="182">
        <f>F19+F26+F17</f>
        <v>413492</v>
      </c>
      <c r="G16" s="182">
        <f>G19+G26+G17</f>
        <v>413492</v>
      </c>
      <c r="H16" s="182">
        <f>H19+H26+H17</f>
        <v>0</v>
      </c>
      <c r="I16" s="182">
        <f>I19+I26+I17</f>
        <v>413492</v>
      </c>
      <c r="J16" s="182">
        <f>J19+J26+J17</f>
        <v>0</v>
      </c>
      <c r="K16" s="182">
        <f>K19+K26+K17</f>
        <v>0</v>
      </c>
      <c r="L16" s="182">
        <f>L19+L26+L17</f>
        <v>0</v>
      </c>
      <c r="M16" s="182">
        <f>M19+M26+M17</f>
        <v>0</v>
      </c>
      <c r="N16" s="182">
        <f>N19+N26+N17</f>
        <v>0</v>
      </c>
      <c r="O16" s="182">
        <f>O19+O26+O17</f>
        <v>4439713</v>
      </c>
      <c r="P16" s="182">
        <f>P19+P26+P17</f>
        <v>4439713</v>
      </c>
      <c r="Q16" s="182">
        <f>Q19+Q26+Q17</f>
        <v>1715413</v>
      </c>
      <c r="R16" s="182">
        <f>R19+R26+R17</f>
        <v>0</v>
      </c>
    </row>
    <row r="17" spans="1:18" ht="22.5" customHeight="1">
      <c r="A17" s="195"/>
      <c r="B17" s="195">
        <v>60013</v>
      </c>
      <c r="C17" s="195"/>
      <c r="D17" s="196" t="s">
        <v>271</v>
      </c>
      <c r="E17" s="197">
        <f>E18</f>
        <v>1666200</v>
      </c>
      <c r="F17" s="197">
        <f>F18</f>
        <v>0</v>
      </c>
      <c r="G17" s="197">
        <f>G18</f>
        <v>0</v>
      </c>
      <c r="H17" s="197">
        <f>H18</f>
        <v>0</v>
      </c>
      <c r="I17" s="197">
        <f>I18</f>
        <v>0</v>
      </c>
      <c r="J17" s="197"/>
      <c r="K17" s="197"/>
      <c r="L17" s="197"/>
      <c r="M17" s="197">
        <f>M18</f>
        <v>0</v>
      </c>
      <c r="N17" s="197">
        <f>N18</f>
        <v>0</v>
      </c>
      <c r="O17" s="197">
        <f>O18</f>
        <v>1666200</v>
      </c>
      <c r="P17" s="197">
        <f>P18</f>
        <v>1666200</v>
      </c>
      <c r="Q17" s="197">
        <f>Q18</f>
        <v>0</v>
      </c>
      <c r="R17" s="197">
        <f>R18</f>
        <v>0</v>
      </c>
    </row>
    <row r="18" spans="1:18" ht="70.5" customHeight="1">
      <c r="A18" s="184"/>
      <c r="B18" s="188"/>
      <c r="C18" s="188">
        <v>6630</v>
      </c>
      <c r="D18" s="198" t="s">
        <v>272</v>
      </c>
      <c r="E18" s="189">
        <f>F18+O18</f>
        <v>1666200</v>
      </c>
      <c r="F18" s="189">
        <f>G18+K18+L18+J18+N18+M18</f>
        <v>0</v>
      </c>
      <c r="G18" s="189">
        <f>H18+I18</f>
        <v>0</v>
      </c>
      <c r="H18" s="190"/>
      <c r="I18" s="190"/>
      <c r="J18" s="190"/>
      <c r="K18" s="190"/>
      <c r="L18" s="190"/>
      <c r="M18" s="190"/>
      <c r="N18" s="190"/>
      <c r="O18" s="190">
        <f>P18+R18</f>
        <v>1666200</v>
      </c>
      <c r="P18" s="191">
        <f>'zał 11'!E16</f>
        <v>1666200</v>
      </c>
      <c r="Q18" s="190"/>
      <c r="R18" s="193"/>
    </row>
    <row r="19" spans="1:18" ht="22.5" customHeight="1">
      <c r="A19" s="184"/>
      <c r="B19" s="184">
        <v>60016</v>
      </c>
      <c r="C19" s="184"/>
      <c r="D19" s="196" t="s">
        <v>102</v>
      </c>
      <c r="E19" s="186">
        <f>SUM(E20:E25)</f>
        <v>3179305</v>
      </c>
      <c r="F19" s="186">
        <f>SUM(F20:F25)</f>
        <v>405792</v>
      </c>
      <c r="G19" s="186">
        <f>SUM(G20:G25)</f>
        <v>405792</v>
      </c>
      <c r="H19" s="186">
        <f>SUM(H20:H25)</f>
        <v>0</v>
      </c>
      <c r="I19" s="186">
        <f>SUM(I20:I25)</f>
        <v>405792</v>
      </c>
      <c r="J19" s="186">
        <f>SUM(J20:J25)</f>
        <v>0</v>
      </c>
      <c r="K19" s="186">
        <f>SUM(K20:K25)</f>
        <v>0</v>
      </c>
      <c r="L19" s="186">
        <f>SUM(L20:L25)</f>
        <v>0</v>
      </c>
      <c r="M19" s="186">
        <f>SUM(M20:M25)</f>
        <v>0</v>
      </c>
      <c r="N19" s="186">
        <f>SUM(N20:N25)</f>
        <v>0</v>
      </c>
      <c r="O19" s="186">
        <f>SUM(O20:O25)</f>
        <v>2773513</v>
      </c>
      <c r="P19" s="186">
        <f>SUM(P20:P25)</f>
        <v>2773513</v>
      </c>
      <c r="Q19" s="186">
        <f>SUM(Q20:Q25)</f>
        <v>1715413</v>
      </c>
      <c r="R19" s="186">
        <f>SUM(R20:R25)</f>
        <v>0</v>
      </c>
    </row>
    <row r="20" spans="1:18" ht="22.5" customHeight="1">
      <c r="A20" s="184"/>
      <c r="B20" s="188"/>
      <c r="C20" s="188">
        <v>4210</v>
      </c>
      <c r="D20" s="187" t="s">
        <v>273</v>
      </c>
      <c r="E20" s="189">
        <f>F20+O20</f>
        <v>65000</v>
      </c>
      <c r="F20" s="189">
        <f>G20+K20+L20+J20+N20+M20</f>
        <v>65000</v>
      </c>
      <c r="G20" s="189">
        <f>H20+I20</f>
        <v>65000</v>
      </c>
      <c r="H20" s="190"/>
      <c r="I20" s="191">
        <f>60000+5000</f>
        <v>65000</v>
      </c>
      <c r="J20" s="190"/>
      <c r="K20" s="190"/>
      <c r="L20" s="190"/>
      <c r="M20" s="190"/>
      <c r="N20" s="190"/>
      <c r="O20" s="190">
        <f>P20+R20</f>
        <v>0</v>
      </c>
      <c r="P20" s="192"/>
      <c r="Q20" s="192"/>
      <c r="R20" s="190"/>
    </row>
    <row r="21" spans="1:18" ht="22.5" customHeight="1">
      <c r="A21" s="184"/>
      <c r="B21" s="188"/>
      <c r="C21" s="188">
        <v>4270</v>
      </c>
      <c r="D21" s="187" t="s">
        <v>274</v>
      </c>
      <c r="E21" s="189">
        <f>F21+O21</f>
        <v>289000</v>
      </c>
      <c r="F21" s="189">
        <f>G21+K21+L21+J21+N21+M21</f>
        <v>289000</v>
      </c>
      <c r="G21" s="189">
        <f>H21+I21</f>
        <v>289000</v>
      </c>
      <c r="H21" s="190"/>
      <c r="I21" s="191">
        <f>285877+3123</f>
        <v>289000</v>
      </c>
      <c r="J21" s="190"/>
      <c r="K21" s="190"/>
      <c r="L21" s="190"/>
      <c r="M21" s="190"/>
      <c r="N21" s="190"/>
      <c r="O21" s="190">
        <f>P21+R21</f>
        <v>0</v>
      </c>
      <c r="P21" s="192"/>
      <c r="Q21" s="192"/>
      <c r="R21" s="190"/>
    </row>
    <row r="22" spans="1:18" ht="22.5" customHeight="1">
      <c r="A22" s="184"/>
      <c r="B22" s="188"/>
      <c r="C22" s="188">
        <v>4300</v>
      </c>
      <c r="D22" s="187" t="s">
        <v>269</v>
      </c>
      <c r="E22" s="189">
        <f>F22+O22</f>
        <v>51792</v>
      </c>
      <c r="F22" s="189">
        <f>G22+K22+L22+J22+N22+M22</f>
        <v>51792</v>
      </c>
      <c r="G22" s="189">
        <f>H22+I22</f>
        <v>51792</v>
      </c>
      <c r="H22" s="190"/>
      <c r="I22" s="191">
        <f>40000+5000+6792</f>
        <v>51792</v>
      </c>
      <c r="J22" s="190"/>
      <c r="K22" s="190"/>
      <c r="L22" s="190"/>
      <c r="M22" s="190"/>
      <c r="N22" s="190"/>
      <c r="O22" s="190">
        <f>P22+R22</f>
        <v>0</v>
      </c>
      <c r="P22" s="192"/>
      <c r="Q22" s="192"/>
      <c r="R22" s="190"/>
    </row>
    <row r="23" spans="1:18" ht="22.5" customHeight="1">
      <c r="A23" s="184"/>
      <c r="B23" s="188"/>
      <c r="C23" s="188">
        <v>6050</v>
      </c>
      <c r="D23" s="187" t="s">
        <v>270</v>
      </c>
      <c r="E23" s="189">
        <f>F23+O23</f>
        <v>386000</v>
      </c>
      <c r="F23" s="189">
        <f>G23+K23+L23+J23+N23+M23</f>
        <v>0</v>
      </c>
      <c r="G23" s="189">
        <f>H23+I23</f>
        <v>0</v>
      </c>
      <c r="H23" s="190"/>
      <c r="I23" s="191"/>
      <c r="J23" s="190"/>
      <c r="K23" s="190"/>
      <c r="L23" s="190"/>
      <c r="M23" s="190"/>
      <c r="N23" s="190"/>
      <c r="O23" s="190">
        <f>P23+R23</f>
        <v>386000</v>
      </c>
      <c r="P23" s="190">
        <f>'zał 11'!E19</f>
        <v>386000</v>
      </c>
      <c r="Q23" s="192"/>
      <c r="R23" s="190"/>
    </row>
    <row r="24" spans="1:18" ht="22.5" customHeight="1">
      <c r="A24" s="184"/>
      <c r="B24" s="188"/>
      <c r="C24" s="188">
        <v>6057</v>
      </c>
      <c r="D24" s="187" t="s">
        <v>270</v>
      </c>
      <c r="E24" s="189">
        <f>F24+O24</f>
        <v>1715413</v>
      </c>
      <c r="F24" s="189">
        <f>G24+K24+L24+J24+N24+M24</f>
        <v>0</v>
      </c>
      <c r="G24" s="189">
        <f>H24+I24</f>
        <v>0</v>
      </c>
      <c r="H24" s="190"/>
      <c r="I24" s="190"/>
      <c r="J24" s="190"/>
      <c r="K24" s="190"/>
      <c r="L24" s="190"/>
      <c r="M24" s="190"/>
      <c r="N24" s="190"/>
      <c r="O24" s="190">
        <f>P24+R24</f>
        <v>1715413</v>
      </c>
      <c r="P24" s="191">
        <f>Q24</f>
        <v>1715413</v>
      </c>
      <c r="Q24" s="191">
        <f>'zał 11'!E22</f>
        <v>1715413</v>
      </c>
      <c r="R24" s="193"/>
    </row>
    <row r="25" spans="1:18" ht="22.5" customHeight="1">
      <c r="A25" s="184"/>
      <c r="B25" s="188"/>
      <c r="C25" s="188">
        <v>6059</v>
      </c>
      <c r="D25" s="187" t="s">
        <v>270</v>
      </c>
      <c r="E25" s="189">
        <f>F25+O25</f>
        <v>672100</v>
      </c>
      <c r="F25" s="189">
        <f>G25+K25+L25+J25+N25+M25</f>
        <v>0</v>
      </c>
      <c r="G25" s="189">
        <f>H25+I25</f>
        <v>0</v>
      </c>
      <c r="H25" s="190"/>
      <c r="I25" s="190"/>
      <c r="J25" s="190"/>
      <c r="K25" s="190"/>
      <c r="L25" s="190"/>
      <c r="M25" s="190"/>
      <c r="N25" s="190"/>
      <c r="O25" s="190">
        <f>P25+R25</f>
        <v>672100</v>
      </c>
      <c r="P25" s="193">
        <f>'zał 11'!E23</f>
        <v>672100</v>
      </c>
      <c r="Q25" s="194"/>
      <c r="R25" s="193"/>
    </row>
    <row r="26" spans="1:18" ht="22.5" customHeight="1">
      <c r="A26" s="184"/>
      <c r="B26" s="184">
        <v>60095</v>
      </c>
      <c r="C26" s="184"/>
      <c r="D26" s="196" t="s">
        <v>95</v>
      </c>
      <c r="E26" s="186">
        <f>SUM(E27:E28)</f>
        <v>7700</v>
      </c>
      <c r="F26" s="186">
        <f>SUM(F27:F28)</f>
        <v>7700</v>
      </c>
      <c r="G26" s="186">
        <f>SUM(G27:G28)</f>
        <v>7700</v>
      </c>
      <c r="H26" s="186">
        <f>SUM(H27:H28)</f>
        <v>0</v>
      </c>
      <c r="I26" s="186">
        <f>SUM(I27:I28)</f>
        <v>7700</v>
      </c>
      <c r="J26" s="186">
        <f>SUM(J27:J28)</f>
        <v>0</v>
      </c>
      <c r="K26" s="186">
        <f>SUM(K27:K28)</f>
        <v>0</v>
      </c>
      <c r="L26" s="186">
        <f>SUM(L27:L28)</f>
        <v>0</v>
      </c>
      <c r="M26" s="186">
        <f>SUM(M27:M28)</f>
        <v>0</v>
      </c>
      <c r="N26" s="186">
        <f>SUM(N27:N28)</f>
        <v>0</v>
      </c>
      <c r="O26" s="186">
        <f>SUM(O27:O28)</f>
        <v>0</v>
      </c>
      <c r="P26" s="186">
        <f>SUM(P27:P28)</f>
        <v>0</v>
      </c>
      <c r="Q26" s="186">
        <f>SUM(Q27:Q28)</f>
        <v>0</v>
      </c>
      <c r="R26" s="186">
        <f>SUM(R27:R28)</f>
        <v>0</v>
      </c>
    </row>
    <row r="27" spans="1:18" ht="22.5" customHeight="1">
      <c r="A27" s="184"/>
      <c r="B27" s="184"/>
      <c r="C27" s="188">
        <v>4210</v>
      </c>
      <c r="D27" s="187" t="s">
        <v>273</v>
      </c>
      <c r="E27" s="189">
        <f>F27+O27</f>
        <v>700</v>
      </c>
      <c r="F27" s="189">
        <f>G27+K27+L27+J27+N27+M27</f>
        <v>700</v>
      </c>
      <c r="G27" s="189">
        <f>H27+I27</f>
        <v>700</v>
      </c>
      <c r="H27" s="186"/>
      <c r="I27" s="191">
        <v>700</v>
      </c>
      <c r="J27" s="186"/>
      <c r="K27" s="186"/>
      <c r="L27" s="186"/>
      <c r="M27" s="186"/>
      <c r="N27" s="186"/>
      <c r="O27" s="190">
        <f>P27+R27</f>
        <v>0</v>
      </c>
      <c r="P27" s="186"/>
      <c r="Q27" s="186"/>
      <c r="R27" s="186"/>
    </row>
    <row r="28" spans="1:18" ht="22.5" customHeight="1">
      <c r="A28" s="184"/>
      <c r="B28" s="188"/>
      <c r="C28" s="188">
        <v>4270</v>
      </c>
      <c r="D28" s="187" t="s">
        <v>275</v>
      </c>
      <c r="E28" s="189">
        <f>F28+O28</f>
        <v>7000</v>
      </c>
      <c r="F28" s="189">
        <f>G28+K28+L28+J28+N28+M28</f>
        <v>7000</v>
      </c>
      <c r="G28" s="189">
        <f>H28+I28</f>
        <v>7000</v>
      </c>
      <c r="H28" s="190"/>
      <c r="I28" s="191">
        <f>6000+1000</f>
        <v>7000</v>
      </c>
      <c r="J28" s="190"/>
      <c r="K28" s="190"/>
      <c r="L28" s="190"/>
      <c r="M28" s="190"/>
      <c r="N28" s="190"/>
      <c r="O28" s="190">
        <f>P28+R28</f>
        <v>0</v>
      </c>
      <c r="P28" s="192"/>
      <c r="Q28" s="192"/>
      <c r="R28" s="190"/>
    </row>
    <row r="29" spans="1:18" ht="33.75" customHeight="1">
      <c r="A29" s="181">
        <v>700</v>
      </c>
      <c r="B29" s="181"/>
      <c r="C29" s="181"/>
      <c r="D29" s="181" t="s">
        <v>276</v>
      </c>
      <c r="E29" s="182">
        <f>E30+E35</f>
        <v>579557</v>
      </c>
      <c r="F29" s="182">
        <f>F30+F35</f>
        <v>579557</v>
      </c>
      <c r="G29" s="182">
        <f>G30+G35</f>
        <v>292000</v>
      </c>
      <c r="H29" s="182">
        <f>H30+H35</f>
        <v>0</v>
      </c>
      <c r="I29" s="182">
        <f>I30+I35</f>
        <v>292000</v>
      </c>
      <c r="J29" s="182">
        <f>J30+J35</f>
        <v>0</v>
      </c>
      <c r="K29" s="182">
        <f>K30+K35</f>
        <v>0</v>
      </c>
      <c r="L29" s="182">
        <f>L30+L35</f>
        <v>0</v>
      </c>
      <c r="M29" s="182">
        <f>M30+M35</f>
        <v>287557</v>
      </c>
      <c r="N29" s="182">
        <f>N30+N35</f>
        <v>0</v>
      </c>
      <c r="O29" s="182">
        <f>O30+O35</f>
        <v>0</v>
      </c>
      <c r="P29" s="182">
        <f>P30+P35</f>
        <v>0</v>
      </c>
      <c r="Q29" s="182">
        <f>Q30+Q35</f>
        <v>0</v>
      </c>
      <c r="R29" s="182">
        <f>R30+R35</f>
        <v>0</v>
      </c>
    </row>
    <row r="30" spans="1:18" ht="22.5" customHeight="1">
      <c r="A30" s="184"/>
      <c r="B30" s="184">
        <v>70005</v>
      </c>
      <c r="C30" s="184"/>
      <c r="D30" s="196" t="s">
        <v>107</v>
      </c>
      <c r="E30" s="186">
        <f>SUM(E31:E34)</f>
        <v>316375</v>
      </c>
      <c r="F30" s="186">
        <f>SUM(F31:F34)</f>
        <v>316375</v>
      </c>
      <c r="G30" s="186">
        <f>SUM(G31:G34)</f>
        <v>92000</v>
      </c>
      <c r="H30" s="186">
        <f>SUM(H31:H34)</f>
        <v>0</v>
      </c>
      <c r="I30" s="186">
        <f>SUM(I31:I34)</f>
        <v>92000</v>
      </c>
      <c r="J30" s="186">
        <f>SUM(J31:J34)</f>
        <v>0</v>
      </c>
      <c r="K30" s="186">
        <f>SUM(K31:K34)</f>
        <v>0</v>
      </c>
      <c r="L30" s="186">
        <f>SUM(L31:L34)</f>
        <v>0</v>
      </c>
      <c r="M30" s="186">
        <f>SUM(M31:M34)</f>
        <v>224375</v>
      </c>
      <c r="N30" s="186">
        <f>SUM(N31:N34)</f>
        <v>0</v>
      </c>
      <c r="O30" s="186">
        <f>SUM(O31:O34)</f>
        <v>0</v>
      </c>
      <c r="P30" s="186">
        <f>SUM(P31:P34)</f>
        <v>0</v>
      </c>
      <c r="Q30" s="186">
        <f>SUM(Q31:Q34)</f>
        <v>0</v>
      </c>
      <c r="R30" s="186">
        <f>SUM(R31:R34)</f>
        <v>0</v>
      </c>
    </row>
    <row r="31" spans="1:18" ht="22.5" customHeight="1">
      <c r="A31" s="184"/>
      <c r="B31" s="188"/>
      <c r="C31" s="188">
        <v>4270</v>
      </c>
      <c r="D31" s="187" t="s">
        <v>275</v>
      </c>
      <c r="E31" s="189">
        <f>F31+O31</f>
        <v>30000</v>
      </c>
      <c r="F31" s="189">
        <f>G31+K31+L31+J31+N31+M31</f>
        <v>30000</v>
      </c>
      <c r="G31" s="189">
        <f>H31+I31</f>
        <v>30000</v>
      </c>
      <c r="H31" s="190"/>
      <c r="I31" s="191">
        <v>30000</v>
      </c>
      <c r="J31" s="190"/>
      <c r="K31" s="190"/>
      <c r="L31" s="190"/>
      <c r="M31" s="190"/>
      <c r="N31" s="190"/>
      <c r="O31" s="190">
        <f>P31+R31</f>
        <v>0</v>
      </c>
      <c r="P31" s="192"/>
      <c r="Q31" s="192"/>
      <c r="R31" s="190"/>
    </row>
    <row r="32" spans="1:18" ht="22.5" customHeight="1">
      <c r="A32" s="184"/>
      <c r="B32" s="188"/>
      <c r="C32" s="188">
        <v>4300</v>
      </c>
      <c r="D32" s="187" t="s">
        <v>269</v>
      </c>
      <c r="E32" s="189">
        <f>F32+O32</f>
        <v>55000</v>
      </c>
      <c r="F32" s="189">
        <f>G32+K32+L32+J32+N32+M32</f>
        <v>55000</v>
      </c>
      <c r="G32" s="189">
        <f>H32+I32</f>
        <v>55000</v>
      </c>
      <c r="H32" s="190"/>
      <c r="I32" s="191">
        <v>55000</v>
      </c>
      <c r="J32" s="190"/>
      <c r="K32" s="190"/>
      <c r="L32" s="190"/>
      <c r="M32" s="190"/>
      <c r="N32" s="190"/>
      <c r="O32" s="190">
        <f>P32+R32</f>
        <v>0</v>
      </c>
      <c r="P32" s="192"/>
      <c r="Q32" s="192"/>
      <c r="R32" s="190"/>
    </row>
    <row r="33" spans="1:18" ht="22.5" customHeight="1">
      <c r="A33" s="188"/>
      <c r="B33" s="188"/>
      <c r="C33" s="188">
        <v>4430</v>
      </c>
      <c r="D33" s="187" t="s">
        <v>277</v>
      </c>
      <c r="E33" s="189">
        <f>F33+O33</f>
        <v>7000</v>
      </c>
      <c r="F33" s="189">
        <f>G33+K33+L33+J33+N33+M33</f>
        <v>7000</v>
      </c>
      <c r="G33" s="189">
        <f>H33+I33</f>
        <v>7000</v>
      </c>
      <c r="H33" s="190"/>
      <c r="I33" s="191">
        <v>7000</v>
      </c>
      <c r="J33" s="191"/>
      <c r="K33" s="191"/>
      <c r="L33" s="191"/>
      <c r="M33" s="190"/>
      <c r="N33" s="190"/>
      <c r="O33" s="190">
        <f>P33+R33</f>
        <v>0</v>
      </c>
      <c r="P33" s="192"/>
      <c r="Q33" s="192"/>
      <c r="R33" s="190"/>
    </row>
    <row r="34" spans="1:18" ht="22.5" customHeight="1">
      <c r="A34" s="184"/>
      <c r="B34" s="188"/>
      <c r="C34" s="188">
        <v>8020</v>
      </c>
      <c r="D34" s="187" t="s">
        <v>278</v>
      </c>
      <c r="E34" s="189">
        <f>F34+O34</f>
        <v>224375</v>
      </c>
      <c r="F34" s="189">
        <f>G34+K34+L34+J34+N34+M34</f>
        <v>224375</v>
      </c>
      <c r="G34" s="189">
        <f>H34+I34</f>
        <v>0</v>
      </c>
      <c r="H34" s="190"/>
      <c r="I34" s="190"/>
      <c r="J34" s="190"/>
      <c r="K34" s="190"/>
      <c r="L34" s="190"/>
      <c r="M34" s="190">
        <v>224375</v>
      </c>
      <c r="N34" s="190"/>
      <c r="O34" s="190"/>
      <c r="P34" s="192"/>
      <c r="Q34" s="192"/>
      <c r="R34" s="190"/>
    </row>
    <row r="35" spans="1:18" ht="22.5" customHeight="1">
      <c r="A35" s="184"/>
      <c r="B35" s="184">
        <v>70021</v>
      </c>
      <c r="C35" s="184"/>
      <c r="D35" s="196" t="s">
        <v>279</v>
      </c>
      <c r="E35" s="186">
        <f>SUM(E36:E37)</f>
        <v>263182</v>
      </c>
      <c r="F35" s="186">
        <f>SUM(F36:F37)</f>
        <v>263182</v>
      </c>
      <c r="G35" s="186">
        <f>SUM(G36:G37)</f>
        <v>200000</v>
      </c>
      <c r="H35" s="186">
        <f>SUM(H36:H37)</f>
        <v>0</v>
      </c>
      <c r="I35" s="186">
        <f>SUM(I36:I37)</f>
        <v>200000</v>
      </c>
      <c r="J35" s="186">
        <f>SUM(J36:J37)</f>
        <v>0</v>
      </c>
      <c r="K35" s="186">
        <f>SUM(K36:K37)</f>
        <v>0</v>
      </c>
      <c r="L35" s="186">
        <f>SUM(L36:L37)</f>
        <v>0</v>
      </c>
      <c r="M35" s="186">
        <f>SUM(M36:M37)</f>
        <v>63182</v>
      </c>
      <c r="N35" s="186">
        <f>SUM(N36:N37)</f>
        <v>0</v>
      </c>
      <c r="O35" s="186">
        <f>SUM(O36:O37)</f>
        <v>0</v>
      </c>
      <c r="P35" s="186">
        <f>SUM(P36:P37)</f>
        <v>0</v>
      </c>
      <c r="Q35" s="186">
        <f>SUM(Q36:Q37)</f>
        <v>0</v>
      </c>
      <c r="R35" s="186">
        <f>SUM(R36:R37)</f>
        <v>0</v>
      </c>
    </row>
    <row r="36" spans="1:18" ht="22.5" customHeight="1">
      <c r="A36" s="184"/>
      <c r="B36" s="188"/>
      <c r="C36" s="188">
        <v>4270</v>
      </c>
      <c r="D36" s="187" t="s">
        <v>275</v>
      </c>
      <c r="E36" s="189">
        <f>F36+O36</f>
        <v>200000</v>
      </c>
      <c r="F36" s="189">
        <f>G36+K36+L36+J36+N36+M36</f>
        <v>200000</v>
      </c>
      <c r="G36" s="189">
        <f>H36+I36</f>
        <v>200000</v>
      </c>
      <c r="H36" s="190"/>
      <c r="I36" s="191">
        <v>200000</v>
      </c>
      <c r="J36" s="191"/>
      <c r="K36" s="190"/>
      <c r="L36" s="190"/>
      <c r="M36" s="190"/>
      <c r="N36" s="190"/>
      <c r="O36" s="190">
        <f>P36+R36</f>
        <v>0</v>
      </c>
      <c r="P36" s="192"/>
      <c r="Q36" s="192"/>
      <c r="R36" s="190"/>
    </row>
    <row r="37" spans="1:18" ht="22.5" customHeight="1">
      <c r="A37" s="184"/>
      <c r="B37" s="188"/>
      <c r="C37" s="188">
        <v>8020</v>
      </c>
      <c r="D37" s="187" t="s">
        <v>278</v>
      </c>
      <c r="E37" s="189">
        <f>F37+O37</f>
        <v>63182</v>
      </c>
      <c r="F37" s="189">
        <f>G37+K37+L37+J37+N37+M37</f>
        <v>63182</v>
      </c>
      <c r="G37" s="189">
        <f>H37+I37</f>
        <v>0</v>
      </c>
      <c r="H37" s="190"/>
      <c r="I37" s="190"/>
      <c r="J37" s="190"/>
      <c r="K37" s="190"/>
      <c r="L37" s="190"/>
      <c r="M37" s="190">
        <v>63182</v>
      </c>
      <c r="N37" s="190"/>
      <c r="O37" s="190"/>
      <c r="P37" s="192"/>
      <c r="Q37" s="192"/>
      <c r="R37" s="190"/>
    </row>
    <row r="38" spans="1:18" ht="33.75" customHeight="1">
      <c r="A38" s="181">
        <v>710</v>
      </c>
      <c r="B38" s="181"/>
      <c r="C38" s="181"/>
      <c r="D38" s="181" t="s">
        <v>280</v>
      </c>
      <c r="E38" s="182">
        <f>E41+E39+E43+E45</f>
        <v>405590</v>
      </c>
      <c r="F38" s="182">
        <f>F41+F39+F43+F45</f>
        <v>405590</v>
      </c>
      <c r="G38" s="182">
        <f>G41+G39+G43+G45</f>
        <v>405590</v>
      </c>
      <c r="H38" s="182">
        <f>H41+H39+H43+H45</f>
        <v>0</v>
      </c>
      <c r="I38" s="182">
        <f>I41+I39+I43+I45</f>
        <v>405590</v>
      </c>
      <c r="J38" s="182">
        <f>J41+J39+J43+J45</f>
        <v>0</v>
      </c>
      <c r="K38" s="182">
        <f>K41+K39+K43+K45</f>
        <v>0</v>
      </c>
      <c r="L38" s="182">
        <f>L41+L39+L43+L45</f>
        <v>0</v>
      </c>
      <c r="M38" s="182">
        <f>M41+M39+M43+M45</f>
        <v>0</v>
      </c>
      <c r="N38" s="182">
        <f>N41+N39+N43+N45</f>
        <v>0</v>
      </c>
      <c r="O38" s="182">
        <f>O41+O39+O43+O45</f>
        <v>0</v>
      </c>
      <c r="P38" s="182">
        <f>P41+P39+P43+P45</f>
        <v>0</v>
      </c>
      <c r="Q38" s="182">
        <f>Q41+Q39+Q43+Q45</f>
        <v>0</v>
      </c>
      <c r="R38" s="182">
        <f>R41+R39+R43+R45</f>
        <v>0</v>
      </c>
    </row>
    <row r="39" spans="1:18" ht="22.5" customHeight="1">
      <c r="A39" s="184"/>
      <c r="B39" s="184">
        <v>71004</v>
      </c>
      <c r="C39" s="184"/>
      <c r="D39" s="196" t="s">
        <v>281</v>
      </c>
      <c r="E39" s="186">
        <f>E40</f>
        <v>45100</v>
      </c>
      <c r="F39" s="186">
        <f>F40</f>
        <v>45100</v>
      </c>
      <c r="G39" s="186">
        <f>G40</f>
        <v>45100</v>
      </c>
      <c r="H39" s="186">
        <f>H40</f>
        <v>0</v>
      </c>
      <c r="I39" s="186">
        <f>I40</f>
        <v>45100</v>
      </c>
      <c r="J39" s="186">
        <f>J40</f>
        <v>0</v>
      </c>
      <c r="K39" s="186">
        <f>K40</f>
        <v>0</v>
      </c>
      <c r="L39" s="186">
        <f>L40</f>
        <v>0</v>
      </c>
      <c r="M39" s="186">
        <f>M40</f>
        <v>0</v>
      </c>
      <c r="N39" s="186">
        <f>N40</f>
        <v>0</v>
      </c>
      <c r="O39" s="186">
        <f>O40</f>
        <v>0</v>
      </c>
      <c r="P39" s="186">
        <f>P40</f>
        <v>0</v>
      </c>
      <c r="Q39" s="186">
        <f>Q40</f>
        <v>0</v>
      </c>
      <c r="R39" s="186">
        <f>R40</f>
        <v>0</v>
      </c>
    </row>
    <row r="40" spans="1:18" ht="22.5" customHeight="1">
      <c r="A40" s="184"/>
      <c r="B40" s="188"/>
      <c r="C40" s="188">
        <v>4300</v>
      </c>
      <c r="D40" s="187" t="s">
        <v>269</v>
      </c>
      <c r="E40" s="189">
        <f>F40+O40</f>
        <v>45100</v>
      </c>
      <c r="F40" s="189">
        <f>G40+K40+L40+J40+N40+M40</f>
        <v>45100</v>
      </c>
      <c r="G40" s="189">
        <f>H40+I40</f>
        <v>45100</v>
      </c>
      <c r="H40" s="190"/>
      <c r="I40" s="191">
        <f>38100+7000</f>
        <v>45100</v>
      </c>
      <c r="J40" s="190"/>
      <c r="K40" s="190"/>
      <c r="L40" s="190"/>
      <c r="M40" s="190"/>
      <c r="N40" s="190"/>
      <c r="O40" s="190">
        <f>P40+R40</f>
        <v>0</v>
      </c>
      <c r="P40" s="192"/>
      <c r="Q40" s="192"/>
      <c r="R40" s="190"/>
    </row>
    <row r="41" spans="1:18" ht="22.5" customHeight="1">
      <c r="A41" s="184"/>
      <c r="B41" s="184">
        <v>71013</v>
      </c>
      <c r="C41" s="184"/>
      <c r="D41" s="196" t="s">
        <v>282</v>
      </c>
      <c r="E41" s="186">
        <f>E42</f>
        <v>15000</v>
      </c>
      <c r="F41" s="186">
        <f>F42</f>
        <v>15000</v>
      </c>
      <c r="G41" s="186">
        <f>G42</f>
        <v>15000</v>
      </c>
      <c r="H41" s="186">
        <f>H42</f>
        <v>0</v>
      </c>
      <c r="I41" s="186">
        <f>I42</f>
        <v>15000</v>
      </c>
      <c r="J41" s="186">
        <f>J42</f>
        <v>0</v>
      </c>
      <c r="K41" s="186">
        <f>K42</f>
        <v>0</v>
      </c>
      <c r="L41" s="186">
        <f>L42</f>
        <v>0</v>
      </c>
      <c r="M41" s="186">
        <f>M42</f>
        <v>0</v>
      </c>
      <c r="N41" s="186"/>
      <c r="O41" s="190">
        <f>P41+R41</f>
        <v>0</v>
      </c>
      <c r="P41" s="186">
        <f>P42</f>
        <v>0</v>
      </c>
      <c r="Q41" s="186">
        <f>Q42</f>
        <v>0</v>
      </c>
      <c r="R41" s="186">
        <f>R42</f>
        <v>0</v>
      </c>
    </row>
    <row r="42" spans="1:18" ht="22.5" customHeight="1">
      <c r="A42" s="184"/>
      <c r="B42" s="188"/>
      <c r="C42" s="188">
        <v>4300</v>
      </c>
      <c r="D42" s="187" t="s">
        <v>269</v>
      </c>
      <c r="E42" s="189">
        <f>F42+O42</f>
        <v>15000</v>
      </c>
      <c r="F42" s="189">
        <f>G42+K42+L42+J42+N42+M42</f>
        <v>15000</v>
      </c>
      <c r="G42" s="189">
        <f>H42+I42</f>
        <v>15000</v>
      </c>
      <c r="H42" s="190"/>
      <c r="I42" s="191">
        <f>10000+5000</f>
        <v>15000</v>
      </c>
      <c r="J42" s="190"/>
      <c r="K42" s="190"/>
      <c r="L42" s="190"/>
      <c r="M42" s="190"/>
      <c r="N42" s="190"/>
      <c r="O42" s="190">
        <f>P42+R42</f>
        <v>0</v>
      </c>
      <c r="P42" s="192"/>
      <c r="Q42" s="192"/>
      <c r="R42" s="190"/>
    </row>
    <row r="43" spans="1:18" ht="22.5" customHeight="1">
      <c r="A43" s="184"/>
      <c r="B43" s="184">
        <v>71035</v>
      </c>
      <c r="C43" s="184"/>
      <c r="D43" s="196" t="s">
        <v>120</v>
      </c>
      <c r="E43" s="186">
        <f>SUM(E44:E44)</f>
        <v>305490</v>
      </c>
      <c r="F43" s="186">
        <f>SUM(F44:F44)</f>
        <v>305490</v>
      </c>
      <c r="G43" s="186">
        <f>SUM(G44:G44)</f>
        <v>305490</v>
      </c>
      <c r="H43" s="186">
        <f>SUM(H44:H44)</f>
        <v>0</v>
      </c>
      <c r="I43" s="186">
        <f>SUM(I44:I44)</f>
        <v>305490</v>
      </c>
      <c r="J43" s="186">
        <f>SUM(J44:J44)</f>
        <v>0</v>
      </c>
      <c r="K43" s="186">
        <f>SUM(K44:K44)</f>
        <v>0</v>
      </c>
      <c r="L43" s="186">
        <f>SUM(L44:L44)</f>
        <v>0</v>
      </c>
      <c r="M43" s="186">
        <f>SUM(M44:M44)</f>
        <v>0</v>
      </c>
      <c r="N43" s="186"/>
      <c r="O43" s="190">
        <f>P43+R43</f>
        <v>0</v>
      </c>
      <c r="P43" s="186">
        <f>SUM(P44:P44)</f>
        <v>0</v>
      </c>
      <c r="Q43" s="186">
        <f>SUM(Q44:Q44)</f>
        <v>0</v>
      </c>
      <c r="R43" s="186">
        <f>SUM(R44:R44)</f>
        <v>0</v>
      </c>
    </row>
    <row r="44" spans="1:18" ht="22.5" customHeight="1">
      <c r="A44" s="184"/>
      <c r="B44" s="188"/>
      <c r="C44" s="188">
        <v>4300</v>
      </c>
      <c r="D44" s="187" t="s">
        <v>269</v>
      </c>
      <c r="E44" s="189">
        <f>F44+O44</f>
        <v>305490</v>
      </c>
      <c r="F44" s="189">
        <f>G44+K44+L44+J44+N44+M44</f>
        <v>305490</v>
      </c>
      <c r="G44" s="189">
        <f>H44+I44</f>
        <v>305490</v>
      </c>
      <c r="H44" s="190"/>
      <c r="I44" s="191">
        <f>300000+5490</f>
        <v>305490</v>
      </c>
      <c r="J44" s="190"/>
      <c r="K44" s="190"/>
      <c r="L44" s="190"/>
      <c r="M44" s="190"/>
      <c r="N44" s="190"/>
      <c r="O44" s="190">
        <f>P44+R44</f>
        <v>0</v>
      </c>
      <c r="P44" s="192"/>
      <c r="Q44" s="192"/>
      <c r="R44" s="190"/>
    </row>
    <row r="45" spans="1:18" ht="22.5" customHeight="1">
      <c r="A45" s="184"/>
      <c r="B45" s="184">
        <v>71095</v>
      </c>
      <c r="C45" s="184"/>
      <c r="D45" s="196" t="s">
        <v>95</v>
      </c>
      <c r="E45" s="186">
        <f>E46</f>
        <v>40000</v>
      </c>
      <c r="F45" s="186">
        <f>F46</f>
        <v>40000</v>
      </c>
      <c r="G45" s="186">
        <f>G46</f>
        <v>40000</v>
      </c>
      <c r="H45" s="186">
        <f>H46</f>
        <v>0</v>
      </c>
      <c r="I45" s="186">
        <f>I46</f>
        <v>40000</v>
      </c>
      <c r="J45" s="186">
        <f>J46</f>
        <v>0</v>
      </c>
      <c r="K45" s="186">
        <f>K46</f>
        <v>0</v>
      </c>
      <c r="L45" s="186">
        <f>L46</f>
        <v>0</v>
      </c>
      <c r="M45" s="186">
        <f>M46</f>
        <v>0</v>
      </c>
      <c r="N45" s="186"/>
      <c r="O45" s="190">
        <f>P45+R45</f>
        <v>0</v>
      </c>
      <c r="P45" s="186">
        <f>P46</f>
        <v>0</v>
      </c>
      <c r="Q45" s="186">
        <f>Q46</f>
        <v>0</v>
      </c>
      <c r="R45" s="186">
        <f>R46</f>
        <v>0</v>
      </c>
    </row>
    <row r="46" spans="1:18" ht="22.5" customHeight="1">
      <c r="A46" s="184"/>
      <c r="B46" s="188"/>
      <c r="C46" s="188">
        <v>4300</v>
      </c>
      <c r="D46" s="187" t="s">
        <v>269</v>
      </c>
      <c r="E46" s="189">
        <f>F46+O46</f>
        <v>40000</v>
      </c>
      <c r="F46" s="189">
        <f>G46+K46+L46+J46+N46+M46</f>
        <v>40000</v>
      </c>
      <c r="G46" s="189">
        <f>H46+I46</f>
        <v>40000</v>
      </c>
      <c r="H46" s="190"/>
      <c r="I46" s="191">
        <v>40000</v>
      </c>
      <c r="J46" s="190"/>
      <c r="K46" s="190"/>
      <c r="L46" s="190"/>
      <c r="M46" s="190"/>
      <c r="N46" s="190"/>
      <c r="O46" s="190">
        <f>P46+R46</f>
        <v>0</v>
      </c>
      <c r="P46" s="192"/>
      <c r="Q46" s="192"/>
      <c r="R46" s="190"/>
    </row>
    <row r="47" spans="1:18" ht="33.75" customHeight="1">
      <c r="A47" s="181">
        <v>750</v>
      </c>
      <c r="B47" s="181"/>
      <c r="C47" s="181"/>
      <c r="D47" s="181" t="s">
        <v>121</v>
      </c>
      <c r="E47" s="182">
        <f>E48+E52+E75+E79</f>
        <v>4145382.8352</v>
      </c>
      <c r="F47" s="182">
        <f>F48+F52+F75+F79</f>
        <v>4145382.8352</v>
      </c>
      <c r="G47" s="182">
        <f>G48+G52+G75+G79</f>
        <v>3776590.8352</v>
      </c>
      <c r="H47" s="182">
        <f>H48+H52+H75+H79</f>
        <v>3088059.3352</v>
      </c>
      <c r="I47" s="182">
        <f>I48+I52+I75+I79</f>
        <v>688531.5</v>
      </c>
      <c r="J47" s="182">
        <f>J48+J52+J75+J79</f>
        <v>0</v>
      </c>
      <c r="K47" s="182">
        <f>K48+K52+K75+K79</f>
        <v>368792</v>
      </c>
      <c r="L47" s="182">
        <f>L48+L52+L75+L79</f>
        <v>0</v>
      </c>
      <c r="M47" s="182">
        <f>M48+M52+M75+M79</f>
        <v>0</v>
      </c>
      <c r="N47" s="182">
        <f>N48+N52+N75+N79</f>
        <v>0</v>
      </c>
      <c r="O47" s="182">
        <f>O48+O52+O75+O79</f>
        <v>0</v>
      </c>
      <c r="P47" s="182">
        <f>P48+P52+P75+P79</f>
        <v>0</v>
      </c>
      <c r="Q47" s="182">
        <f>Q48+Q52+Q75+Q79</f>
        <v>0</v>
      </c>
      <c r="R47" s="182">
        <f>R48+R52+R75+R79</f>
        <v>0</v>
      </c>
    </row>
    <row r="48" spans="1:18" ht="22.5" customHeight="1">
      <c r="A48" s="184"/>
      <c r="B48" s="184">
        <v>75022</v>
      </c>
      <c r="C48" s="184"/>
      <c r="D48" s="196" t="s">
        <v>283</v>
      </c>
      <c r="E48" s="186">
        <f>SUM(E49:E51)</f>
        <v>273200</v>
      </c>
      <c r="F48" s="186">
        <f>SUM(F49:F51)</f>
        <v>273200</v>
      </c>
      <c r="G48" s="186">
        <f>SUM(G49:G51)</f>
        <v>19200</v>
      </c>
      <c r="H48" s="186">
        <f>SUM(H49:H51)</f>
        <v>0</v>
      </c>
      <c r="I48" s="186">
        <f>SUM(I49:I51)</f>
        <v>19200</v>
      </c>
      <c r="J48" s="186">
        <f>SUM(J49:J51)</f>
        <v>0</v>
      </c>
      <c r="K48" s="186">
        <f>SUM(K49:K51)</f>
        <v>254000</v>
      </c>
      <c r="L48" s="186">
        <f>SUM(L49:L51)</f>
        <v>0</v>
      </c>
      <c r="M48" s="186">
        <f>SUM(M49:M51)</f>
        <v>0</v>
      </c>
      <c r="N48" s="186">
        <f>SUM(N49:N51)</f>
        <v>0</v>
      </c>
      <c r="O48" s="186">
        <f>SUM(O49:O51)</f>
        <v>0</v>
      </c>
      <c r="P48" s="186">
        <f>SUM(P49:P51)</f>
        <v>0</v>
      </c>
      <c r="Q48" s="186">
        <f>SUM(Q49:Q51)</f>
        <v>0</v>
      </c>
      <c r="R48" s="186">
        <f>SUM(R49:R51)</f>
        <v>0</v>
      </c>
    </row>
    <row r="49" spans="1:18" ht="22.5" customHeight="1">
      <c r="A49" s="188"/>
      <c r="B49" s="188"/>
      <c r="C49" s="188">
        <v>3030</v>
      </c>
      <c r="D49" s="187" t="s">
        <v>284</v>
      </c>
      <c r="E49" s="189">
        <f>F49+O49</f>
        <v>254000</v>
      </c>
      <c r="F49" s="189">
        <f>G49+K49+L49+J49+N49+M49</f>
        <v>254000</v>
      </c>
      <c r="G49" s="189">
        <f>H49+I49</f>
        <v>0</v>
      </c>
      <c r="H49" s="190"/>
      <c r="I49" s="190"/>
      <c r="J49" s="190"/>
      <c r="K49" s="191">
        <v>254000</v>
      </c>
      <c r="L49" s="190"/>
      <c r="M49" s="190"/>
      <c r="N49" s="194"/>
      <c r="O49" s="190">
        <f>P49+R49</f>
        <v>0</v>
      </c>
      <c r="P49" s="192"/>
      <c r="Q49" s="192"/>
      <c r="R49" s="190"/>
    </row>
    <row r="50" spans="1:18" ht="22.5" customHeight="1">
      <c r="A50" s="184"/>
      <c r="B50" s="188"/>
      <c r="C50" s="188">
        <v>4210</v>
      </c>
      <c r="D50" s="187" t="s">
        <v>285</v>
      </c>
      <c r="E50" s="189">
        <f>F50+O50</f>
        <v>13200</v>
      </c>
      <c r="F50" s="189">
        <f>G50+K50+L50+J50+N50+M50</f>
        <v>13200</v>
      </c>
      <c r="G50" s="189">
        <f>H50+I50</f>
        <v>13200</v>
      </c>
      <c r="H50" s="190"/>
      <c r="I50" s="191">
        <v>13200</v>
      </c>
      <c r="J50" s="190"/>
      <c r="K50" s="190"/>
      <c r="L50" s="190"/>
      <c r="M50" s="190"/>
      <c r="N50" s="190"/>
      <c r="O50" s="190">
        <f>P50+R50</f>
        <v>0</v>
      </c>
      <c r="P50" s="192"/>
      <c r="Q50" s="192"/>
      <c r="R50" s="190"/>
    </row>
    <row r="51" spans="1:18" ht="22.5" customHeight="1">
      <c r="A51" s="184"/>
      <c r="B51" s="188"/>
      <c r="C51" s="188">
        <v>4300</v>
      </c>
      <c r="D51" s="187" t="s">
        <v>269</v>
      </c>
      <c r="E51" s="189">
        <f>F51+O51</f>
        <v>6000</v>
      </c>
      <c r="F51" s="189">
        <f>G51+K51+L51+J51+N51+M51</f>
        <v>6000</v>
      </c>
      <c r="G51" s="189">
        <f>H51+I51</f>
        <v>6000</v>
      </c>
      <c r="H51" s="190"/>
      <c r="I51" s="191">
        <v>6000</v>
      </c>
      <c r="J51" s="190"/>
      <c r="K51" s="190"/>
      <c r="L51" s="190"/>
      <c r="M51" s="190"/>
      <c r="N51" s="190"/>
      <c r="O51" s="190">
        <f>P51+R51</f>
        <v>0</v>
      </c>
      <c r="P51" s="192"/>
      <c r="Q51" s="192"/>
      <c r="R51" s="190"/>
    </row>
    <row r="52" spans="1:18" ht="22.5" customHeight="1">
      <c r="A52" s="184"/>
      <c r="B52" s="184">
        <v>75023</v>
      </c>
      <c r="C52" s="184"/>
      <c r="D52" s="196" t="s">
        <v>122</v>
      </c>
      <c r="E52" s="186">
        <f>SUM(E53:E74)</f>
        <v>3704390.8352</v>
      </c>
      <c r="F52" s="186">
        <f>SUM(F53:F74)</f>
        <v>3704390.8352</v>
      </c>
      <c r="G52" s="186">
        <f>SUM(G53:G74)</f>
        <v>3689390.8352</v>
      </c>
      <c r="H52" s="186">
        <f>SUM(H53:H74)</f>
        <v>3086059.3352</v>
      </c>
      <c r="I52" s="186">
        <f>SUM(I53:I74)</f>
        <v>603331.5</v>
      </c>
      <c r="J52" s="186">
        <f>SUM(J53:J74)</f>
        <v>0</v>
      </c>
      <c r="K52" s="186">
        <f>SUM(K53:K74)</f>
        <v>15000</v>
      </c>
      <c r="L52" s="186">
        <f>SUM(L53:L74)</f>
        <v>0</v>
      </c>
      <c r="M52" s="186">
        <f>SUM(M53:M74)</f>
        <v>0</v>
      </c>
      <c r="N52" s="186">
        <f>SUM(N53:N74)</f>
        <v>0</v>
      </c>
      <c r="O52" s="186">
        <f>SUM(O53:O74)</f>
        <v>0</v>
      </c>
      <c r="P52" s="186">
        <f>SUM(P53:P74)</f>
        <v>0</v>
      </c>
      <c r="Q52" s="186">
        <f>SUM(Q53:Q74)</f>
        <v>0</v>
      </c>
      <c r="R52" s="186">
        <f>SUM(R53:R74)</f>
        <v>0</v>
      </c>
    </row>
    <row r="53" spans="1:18" ht="22.5" customHeight="1">
      <c r="A53" s="188"/>
      <c r="B53" s="188"/>
      <c r="C53" s="188">
        <v>3020</v>
      </c>
      <c r="D53" s="187" t="s">
        <v>286</v>
      </c>
      <c r="E53" s="189">
        <f>F53+O53</f>
        <v>15000</v>
      </c>
      <c r="F53" s="189">
        <f>G53+K53+L53+J53+N53+M53</f>
        <v>15000</v>
      </c>
      <c r="G53" s="189">
        <f>H53+I53</f>
        <v>0</v>
      </c>
      <c r="H53" s="190"/>
      <c r="I53" s="190"/>
      <c r="J53" s="190"/>
      <c r="K53" s="190">
        <v>15000</v>
      </c>
      <c r="L53" s="190"/>
      <c r="M53" s="190"/>
      <c r="N53" s="194"/>
      <c r="O53" s="190">
        <f>P53+R53</f>
        <v>0</v>
      </c>
      <c r="P53" s="192"/>
      <c r="Q53" s="192"/>
      <c r="R53" s="190"/>
    </row>
    <row r="54" spans="1:18" ht="22.5" customHeight="1">
      <c r="A54" s="188"/>
      <c r="B54" s="188"/>
      <c r="C54" s="188">
        <v>4010</v>
      </c>
      <c r="D54" s="187" t="s">
        <v>287</v>
      </c>
      <c r="E54" s="189">
        <f>F54+O54</f>
        <v>2397062</v>
      </c>
      <c r="F54" s="189">
        <f>G54+K54+L54+J54+N54+M54</f>
        <v>2397062</v>
      </c>
      <c r="G54" s="189">
        <f>H54+I54</f>
        <v>2397062</v>
      </c>
      <c r="H54" s="191">
        <v>2397062</v>
      </c>
      <c r="I54" s="190"/>
      <c r="J54" s="190"/>
      <c r="K54" s="190"/>
      <c r="L54" s="190"/>
      <c r="M54" s="190"/>
      <c r="N54" s="190"/>
      <c r="O54" s="190">
        <f>P54+R54</f>
        <v>0</v>
      </c>
      <c r="P54" s="192"/>
      <c r="Q54" s="192"/>
      <c r="R54" s="190"/>
    </row>
    <row r="55" spans="1:18" ht="22.5" customHeight="1">
      <c r="A55" s="188"/>
      <c r="B55" s="188"/>
      <c r="C55" s="188">
        <v>4040</v>
      </c>
      <c r="D55" s="187" t="s">
        <v>288</v>
      </c>
      <c r="E55" s="189">
        <f>F55+O55</f>
        <v>185000</v>
      </c>
      <c r="F55" s="189">
        <f>G55+K55+L55+J55+N55+M55</f>
        <v>185000</v>
      </c>
      <c r="G55" s="189">
        <f>H55+I55</f>
        <v>185000</v>
      </c>
      <c r="H55" s="191">
        <v>185000</v>
      </c>
      <c r="I55" s="190"/>
      <c r="J55" s="190"/>
      <c r="K55" s="190"/>
      <c r="L55" s="190"/>
      <c r="M55" s="190"/>
      <c r="N55" s="190"/>
      <c r="O55" s="190">
        <f>P55+R55</f>
        <v>0</v>
      </c>
      <c r="P55" s="192"/>
      <c r="Q55" s="192"/>
      <c r="R55" s="190"/>
    </row>
    <row r="56" spans="1:18" ht="22.5" customHeight="1">
      <c r="A56" s="188"/>
      <c r="B56" s="188"/>
      <c r="C56" s="188">
        <v>4110</v>
      </c>
      <c r="D56" s="187" t="s">
        <v>289</v>
      </c>
      <c r="E56" s="189">
        <f>F56+O56</f>
        <v>400477.81620000006</v>
      </c>
      <c r="F56" s="189">
        <f>G56+K56+L56+J56+N56+M56</f>
        <v>400477.81620000006</v>
      </c>
      <c r="G56" s="189">
        <f>H56+I56</f>
        <v>400477.81620000006</v>
      </c>
      <c r="H56" s="191">
        <f>H54*0.1551+H55*0.1551</f>
        <v>400477.81620000006</v>
      </c>
      <c r="I56" s="191"/>
      <c r="J56" s="191"/>
      <c r="K56" s="191"/>
      <c r="L56" s="191"/>
      <c r="M56" s="190"/>
      <c r="N56" s="190"/>
      <c r="O56" s="190">
        <f>P56+R56</f>
        <v>0</v>
      </c>
      <c r="P56" s="192"/>
      <c r="Q56" s="192"/>
      <c r="R56" s="190"/>
    </row>
    <row r="57" spans="1:18" ht="22.5" customHeight="1">
      <c r="A57" s="188"/>
      <c r="B57" s="188"/>
      <c r="C57" s="188">
        <v>4120</v>
      </c>
      <c r="D57" s="187" t="s">
        <v>290</v>
      </c>
      <c r="E57" s="189">
        <f>F57+O57</f>
        <v>63259.519</v>
      </c>
      <c r="F57" s="189">
        <f>G57+K57+L57+J57+N57+M57</f>
        <v>63259.519</v>
      </c>
      <c r="G57" s="189">
        <f>H57+I57</f>
        <v>63259.519</v>
      </c>
      <c r="H57" s="191">
        <f>(H54+H55)*0.0245-1</f>
        <v>63259.519</v>
      </c>
      <c r="I57" s="191"/>
      <c r="J57" s="191"/>
      <c r="K57" s="191"/>
      <c r="L57" s="191"/>
      <c r="M57" s="190"/>
      <c r="N57" s="190"/>
      <c r="O57" s="190">
        <f>P57+R57</f>
        <v>0</v>
      </c>
      <c r="P57" s="192"/>
      <c r="Q57" s="192"/>
      <c r="R57" s="190"/>
    </row>
    <row r="58" spans="1:18" ht="22.5" customHeight="1">
      <c r="A58" s="188"/>
      <c r="B58" s="188"/>
      <c r="C58" s="188">
        <v>4140</v>
      </c>
      <c r="D58" s="187" t="s">
        <v>291</v>
      </c>
      <c r="E58" s="189">
        <f>F58+O58</f>
        <v>4100</v>
      </c>
      <c r="F58" s="189">
        <f>G58+K58+L58+J58+N58+M58</f>
        <v>4100</v>
      </c>
      <c r="G58" s="189">
        <f>H58+I58</f>
        <v>4100</v>
      </c>
      <c r="H58" s="190"/>
      <c r="I58" s="191">
        <v>4100</v>
      </c>
      <c r="J58" s="190"/>
      <c r="K58" s="190"/>
      <c r="L58" s="190"/>
      <c r="M58" s="190"/>
      <c r="N58" s="190"/>
      <c r="O58" s="190">
        <f>P58+R58</f>
        <v>0</v>
      </c>
      <c r="P58" s="192"/>
      <c r="Q58" s="192"/>
      <c r="R58" s="190"/>
    </row>
    <row r="59" spans="1:18" ht="22.5" customHeight="1">
      <c r="A59" s="188"/>
      <c r="B59" s="188"/>
      <c r="C59" s="188">
        <v>4170</v>
      </c>
      <c r="D59" s="187" t="s">
        <v>292</v>
      </c>
      <c r="E59" s="189">
        <f>F59+O59</f>
        <v>40260</v>
      </c>
      <c r="F59" s="189">
        <f>G59+K59+L59+J59+N59+M59</f>
        <v>40260</v>
      </c>
      <c r="G59" s="189">
        <f>H59+I59</f>
        <v>40260</v>
      </c>
      <c r="H59" s="191">
        <f>18000+15000+3900+3360</f>
        <v>40260</v>
      </c>
      <c r="I59" s="190"/>
      <c r="J59" s="190"/>
      <c r="K59" s="190"/>
      <c r="L59" s="190"/>
      <c r="M59" s="190"/>
      <c r="N59" s="190"/>
      <c r="O59" s="190">
        <f>P59+R59</f>
        <v>0</v>
      </c>
      <c r="P59" s="192"/>
      <c r="Q59" s="192"/>
      <c r="R59" s="190"/>
    </row>
    <row r="60" spans="1:18" ht="22.5" customHeight="1">
      <c r="A60" s="188"/>
      <c r="B60" s="188"/>
      <c r="C60" s="188">
        <v>4210</v>
      </c>
      <c r="D60" s="187" t="s">
        <v>273</v>
      </c>
      <c r="E60" s="189">
        <f>F60+O60</f>
        <v>138479</v>
      </c>
      <c r="F60" s="189">
        <f>G60+K60+L60+J60+N60+M60</f>
        <v>138479</v>
      </c>
      <c r="G60" s="189">
        <f>H60+I60</f>
        <v>138479</v>
      </c>
      <c r="H60" s="190"/>
      <c r="I60" s="191">
        <f>120000+9900+34000-25421</f>
        <v>138479</v>
      </c>
      <c r="J60" s="191"/>
      <c r="K60" s="191"/>
      <c r="L60" s="191"/>
      <c r="M60" s="190"/>
      <c r="N60" s="190"/>
      <c r="O60" s="190">
        <f>P60+R60</f>
        <v>0</v>
      </c>
      <c r="P60" s="192"/>
      <c r="Q60" s="192"/>
      <c r="R60" s="190"/>
    </row>
    <row r="61" spans="1:18" ht="22.5" customHeight="1">
      <c r="A61" s="188"/>
      <c r="B61" s="188"/>
      <c r="C61" s="188">
        <v>4260</v>
      </c>
      <c r="D61" s="187" t="s">
        <v>293</v>
      </c>
      <c r="E61" s="189">
        <f>F61+O61</f>
        <v>79500</v>
      </c>
      <c r="F61" s="189">
        <f>G61+K61+L61+J61+N61+M61</f>
        <v>79500</v>
      </c>
      <c r="G61" s="189">
        <f>H61+I61</f>
        <v>79500</v>
      </c>
      <c r="H61" s="190"/>
      <c r="I61" s="191">
        <v>79500</v>
      </c>
      <c r="J61" s="191"/>
      <c r="K61" s="191"/>
      <c r="L61" s="191"/>
      <c r="M61" s="190"/>
      <c r="N61" s="190"/>
      <c r="O61" s="190">
        <f>P61+R61</f>
        <v>0</v>
      </c>
      <c r="P61" s="192"/>
      <c r="Q61" s="192"/>
      <c r="R61" s="190"/>
    </row>
    <row r="62" spans="1:18" ht="22.5" customHeight="1">
      <c r="A62" s="188"/>
      <c r="B62" s="188"/>
      <c r="C62" s="188">
        <v>4270</v>
      </c>
      <c r="D62" s="187" t="s">
        <v>294</v>
      </c>
      <c r="E62" s="189">
        <f>F62+O62</f>
        <v>0</v>
      </c>
      <c r="F62" s="189">
        <f>G62+K62+L62+J62+N62+M62</f>
        <v>0</v>
      </c>
      <c r="G62" s="189">
        <f>H62+I62</f>
        <v>0</v>
      </c>
      <c r="H62" s="190"/>
      <c r="I62" s="191"/>
      <c r="J62" s="191"/>
      <c r="K62" s="191"/>
      <c r="L62" s="191"/>
      <c r="M62" s="190"/>
      <c r="N62" s="190"/>
      <c r="O62" s="190">
        <f>P62+R62</f>
        <v>0</v>
      </c>
      <c r="P62" s="192"/>
      <c r="Q62" s="192"/>
      <c r="R62" s="190"/>
    </row>
    <row r="63" spans="1:18" ht="22.5" customHeight="1">
      <c r="A63" s="188"/>
      <c r="B63" s="188"/>
      <c r="C63" s="188">
        <v>4280</v>
      </c>
      <c r="D63" s="187" t="s">
        <v>295</v>
      </c>
      <c r="E63" s="189">
        <f>F63+O63</f>
        <v>3500</v>
      </c>
      <c r="F63" s="189">
        <f>G63+K63+L63+J63+N63+M63</f>
        <v>3500</v>
      </c>
      <c r="G63" s="189">
        <f>H63+I63</f>
        <v>3500</v>
      </c>
      <c r="H63" s="190"/>
      <c r="I63" s="191">
        <v>3500</v>
      </c>
      <c r="J63" s="191"/>
      <c r="K63" s="191"/>
      <c r="L63" s="191"/>
      <c r="M63" s="190"/>
      <c r="N63" s="190"/>
      <c r="O63" s="190">
        <f>P63+R63</f>
        <v>0</v>
      </c>
      <c r="P63" s="192"/>
      <c r="Q63" s="192"/>
      <c r="R63" s="190"/>
    </row>
    <row r="64" spans="1:18" ht="22.5" customHeight="1">
      <c r="A64" s="188"/>
      <c r="B64" s="188"/>
      <c r="C64" s="188">
        <v>4300</v>
      </c>
      <c r="D64" s="187" t="s">
        <v>296</v>
      </c>
      <c r="E64" s="189">
        <f>F64+O64</f>
        <v>160000</v>
      </c>
      <c r="F64" s="189">
        <f>G64+K64+L64+J64+N64+M64</f>
        <v>160000</v>
      </c>
      <c r="G64" s="189">
        <f>H64+I64</f>
        <v>160000</v>
      </c>
      <c r="H64" s="190"/>
      <c r="I64" s="191">
        <v>160000</v>
      </c>
      <c r="J64" s="191"/>
      <c r="K64" s="191"/>
      <c r="L64" s="191"/>
      <c r="M64" s="190"/>
      <c r="N64" s="190"/>
      <c r="O64" s="190">
        <f>P64+R64</f>
        <v>0</v>
      </c>
      <c r="P64" s="192"/>
      <c r="Q64" s="192"/>
      <c r="R64" s="190"/>
    </row>
    <row r="65" spans="1:18" ht="22.5" customHeight="1">
      <c r="A65" s="188"/>
      <c r="B65" s="188"/>
      <c r="C65" s="188">
        <v>4350</v>
      </c>
      <c r="D65" s="187" t="s">
        <v>297</v>
      </c>
      <c r="E65" s="189">
        <f>F65+O65</f>
        <v>21200</v>
      </c>
      <c r="F65" s="189">
        <f>G65+K65+L65+J65+N65+M65</f>
        <v>21200</v>
      </c>
      <c r="G65" s="189">
        <f>H65+I65</f>
        <v>21200</v>
      </c>
      <c r="H65" s="190"/>
      <c r="I65" s="191">
        <v>21200</v>
      </c>
      <c r="J65" s="191"/>
      <c r="K65" s="191"/>
      <c r="L65" s="191"/>
      <c r="M65" s="190"/>
      <c r="N65" s="190"/>
      <c r="O65" s="190">
        <f>P65+R65</f>
        <v>0</v>
      </c>
      <c r="P65" s="192"/>
      <c r="Q65" s="192"/>
      <c r="R65" s="190"/>
    </row>
    <row r="66" spans="1:18" ht="36.75" customHeight="1">
      <c r="A66" s="188"/>
      <c r="B66" s="188"/>
      <c r="C66" s="188">
        <v>4360</v>
      </c>
      <c r="D66" s="187" t="s">
        <v>298</v>
      </c>
      <c r="E66" s="189">
        <f>F66+O66</f>
        <v>14500</v>
      </c>
      <c r="F66" s="189">
        <f>G66+K66+L66+J66+N66+M66</f>
        <v>14500</v>
      </c>
      <c r="G66" s="189">
        <f>H66+I66</f>
        <v>14500</v>
      </c>
      <c r="H66" s="190"/>
      <c r="I66" s="191">
        <v>14500</v>
      </c>
      <c r="J66" s="191"/>
      <c r="K66" s="191"/>
      <c r="L66" s="191"/>
      <c r="M66" s="190"/>
      <c r="N66" s="190"/>
      <c r="O66" s="190">
        <f>P66+R66</f>
        <v>0</v>
      </c>
      <c r="P66" s="192"/>
      <c r="Q66" s="192"/>
      <c r="R66" s="190"/>
    </row>
    <row r="67" spans="1:18" ht="36.75" customHeight="1">
      <c r="A67" s="188"/>
      <c r="B67" s="188"/>
      <c r="C67" s="188">
        <v>4370</v>
      </c>
      <c r="D67" s="187" t="s">
        <v>299</v>
      </c>
      <c r="E67" s="189">
        <f>F67+O67</f>
        <v>35000</v>
      </c>
      <c r="F67" s="189">
        <f>G67+K67+L67+J67+N67+M67</f>
        <v>35000</v>
      </c>
      <c r="G67" s="189">
        <f>H67+I67</f>
        <v>35000</v>
      </c>
      <c r="H67" s="190"/>
      <c r="I67" s="191">
        <v>35000</v>
      </c>
      <c r="J67" s="191"/>
      <c r="K67" s="191"/>
      <c r="L67" s="191"/>
      <c r="M67" s="190"/>
      <c r="N67" s="190"/>
      <c r="O67" s="190">
        <f>P67+R67</f>
        <v>0</v>
      </c>
      <c r="P67" s="192"/>
      <c r="Q67" s="192"/>
      <c r="R67" s="190"/>
    </row>
    <row r="68" spans="1:18" ht="22.5" customHeight="1">
      <c r="A68" s="188"/>
      <c r="B68" s="188"/>
      <c r="C68" s="188">
        <v>4380</v>
      </c>
      <c r="D68" s="187" t="s">
        <v>300</v>
      </c>
      <c r="E68" s="189">
        <f>F68+O68</f>
        <v>2000</v>
      </c>
      <c r="F68" s="189">
        <f>G68+K68+L68+J68+N68+M68</f>
        <v>2000</v>
      </c>
      <c r="G68" s="189">
        <f>H68+I68</f>
        <v>2000</v>
      </c>
      <c r="H68" s="190"/>
      <c r="I68" s="191">
        <v>2000</v>
      </c>
      <c r="J68" s="191"/>
      <c r="K68" s="191"/>
      <c r="L68" s="191"/>
      <c r="M68" s="190"/>
      <c r="N68" s="190"/>
      <c r="O68" s="190">
        <f>P68+R68</f>
        <v>0</v>
      </c>
      <c r="P68" s="192"/>
      <c r="Q68" s="192"/>
      <c r="R68" s="190"/>
    </row>
    <row r="69" spans="1:18" ht="22.5" customHeight="1">
      <c r="A69" s="188"/>
      <c r="B69" s="188"/>
      <c r="C69" s="188">
        <v>4410</v>
      </c>
      <c r="D69" s="187" t="s">
        <v>301</v>
      </c>
      <c r="E69" s="189">
        <f>F69+O69</f>
        <v>36000</v>
      </c>
      <c r="F69" s="189">
        <f>G69+K69+L69+J69+N69+M69</f>
        <v>36000</v>
      </c>
      <c r="G69" s="189">
        <f>H69+I69</f>
        <v>36000</v>
      </c>
      <c r="H69" s="190"/>
      <c r="I69" s="191">
        <v>36000</v>
      </c>
      <c r="J69" s="191"/>
      <c r="K69" s="191"/>
      <c r="L69" s="191"/>
      <c r="M69" s="190"/>
      <c r="N69" s="190"/>
      <c r="O69" s="190">
        <f>P69+R69</f>
        <v>0</v>
      </c>
      <c r="P69" s="192"/>
      <c r="Q69" s="192"/>
      <c r="R69" s="190"/>
    </row>
    <row r="70" spans="1:18" ht="22.5" customHeight="1">
      <c r="A70" s="188"/>
      <c r="B70" s="188"/>
      <c r="C70" s="188">
        <v>4420</v>
      </c>
      <c r="D70" s="187" t="s">
        <v>302</v>
      </c>
      <c r="E70" s="189">
        <f>F70+O70</f>
        <v>5000</v>
      </c>
      <c r="F70" s="189">
        <f>G70+K70+L70+J70+N70+M70</f>
        <v>5000</v>
      </c>
      <c r="G70" s="189">
        <f>H70+I70</f>
        <v>5000</v>
      </c>
      <c r="H70" s="190"/>
      <c r="I70" s="191">
        <v>5000</v>
      </c>
      <c r="J70" s="191"/>
      <c r="K70" s="191"/>
      <c r="L70" s="191"/>
      <c r="M70" s="190"/>
      <c r="N70" s="190"/>
      <c r="O70" s="190">
        <f>P70+R70</f>
        <v>0</v>
      </c>
      <c r="P70" s="192"/>
      <c r="Q70" s="192"/>
      <c r="R70" s="190"/>
    </row>
    <row r="71" spans="1:18" ht="22.5" customHeight="1">
      <c r="A71" s="188"/>
      <c r="B71" s="188"/>
      <c r="C71" s="188">
        <v>4430</v>
      </c>
      <c r="D71" s="187" t="s">
        <v>277</v>
      </c>
      <c r="E71" s="189">
        <f>F71+O71</f>
        <v>8500</v>
      </c>
      <c r="F71" s="189">
        <f>G71+K71+L71+J71+N71+M71</f>
        <v>8500</v>
      </c>
      <c r="G71" s="189">
        <f>H71+I71</f>
        <v>8500</v>
      </c>
      <c r="H71" s="190"/>
      <c r="I71" s="191">
        <v>8500</v>
      </c>
      <c r="J71" s="191"/>
      <c r="K71" s="191"/>
      <c r="L71" s="191"/>
      <c r="M71" s="190"/>
      <c r="N71" s="190"/>
      <c r="O71" s="190">
        <f>P71+R71</f>
        <v>0</v>
      </c>
      <c r="P71" s="192"/>
      <c r="Q71" s="192"/>
      <c r="R71" s="190"/>
    </row>
    <row r="72" spans="1:18" ht="22.5" customHeight="1">
      <c r="A72" s="188"/>
      <c r="B72" s="188"/>
      <c r="C72" s="188">
        <v>4440</v>
      </c>
      <c r="D72" s="187" t="s">
        <v>303</v>
      </c>
      <c r="E72" s="189">
        <f>F72+O72</f>
        <v>77552.5</v>
      </c>
      <c r="F72" s="189">
        <f>G72+K72+L72+J72+N72+M72</f>
        <v>77552.5</v>
      </c>
      <c r="G72" s="189">
        <f>H72+I72</f>
        <v>77552.5</v>
      </c>
      <c r="H72" s="190"/>
      <c r="I72" s="191">
        <f>70*1048+24*0.0625*2795</f>
        <v>77552.5</v>
      </c>
      <c r="J72" s="191"/>
      <c r="K72" s="191"/>
      <c r="L72" s="191"/>
      <c r="M72" s="190"/>
      <c r="N72" s="190"/>
      <c r="O72" s="190">
        <f>P72+R72</f>
        <v>0</v>
      </c>
      <c r="P72" s="192"/>
      <c r="Q72" s="192"/>
      <c r="R72" s="190"/>
    </row>
    <row r="73" spans="1:18" ht="22.5" customHeight="1">
      <c r="A73" s="188"/>
      <c r="B73" s="188"/>
      <c r="C73" s="188">
        <v>4610</v>
      </c>
      <c r="D73" s="187" t="s">
        <v>304</v>
      </c>
      <c r="E73" s="189">
        <f>F73+O73</f>
        <v>3000</v>
      </c>
      <c r="F73" s="189">
        <f>G73+K73+L73+J73+N73+M73</f>
        <v>3000</v>
      </c>
      <c r="G73" s="189">
        <f>H73+I73</f>
        <v>3000</v>
      </c>
      <c r="H73" s="190"/>
      <c r="I73" s="191">
        <v>3000</v>
      </c>
      <c r="J73" s="191"/>
      <c r="K73" s="191"/>
      <c r="L73" s="191"/>
      <c r="M73" s="190"/>
      <c r="N73" s="190"/>
      <c r="O73" s="190">
        <f>P73+R73</f>
        <v>0</v>
      </c>
      <c r="P73" s="192"/>
      <c r="Q73" s="192"/>
      <c r="R73" s="190"/>
    </row>
    <row r="74" spans="1:18" ht="36.75" customHeight="1">
      <c r="A74" s="188"/>
      <c r="B74" s="188"/>
      <c r="C74" s="188">
        <v>4700</v>
      </c>
      <c r="D74" s="187" t="s">
        <v>305</v>
      </c>
      <c r="E74" s="189">
        <f>F74+O74</f>
        <v>15000</v>
      </c>
      <c r="F74" s="189">
        <f>G74+K74+L74+J74+N74+M74</f>
        <v>15000</v>
      </c>
      <c r="G74" s="189">
        <f>H74+I74</f>
        <v>15000</v>
      </c>
      <c r="H74" s="190"/>
      <c r="I74" s="191">
        <v>15000</v>
      </c>
      <c r="J74" s="191"/>
      <c r="K74" s="191"/>
      <c r="L74" s="191"/>
      <c r="M74" s="190"/>
      <c r="N74" s="190"/>
      <c r="O74" s="190">
        <f>P74+R74</f>
        <v>0</v>
      </c>
      <c r="P74" s="192"/>
      <c r="Q74" s="192"/>
      <c r="R74" s="190"/>
    </row>
    <row r="75" spans="1:18" ht="22.5" customHeight="1">
      <c r="A75" s="184"/>
      <c r="B75" s="184">
        <v>75075</v>
      </c>
      <c r="C75" s="184"/>
      <c r="D75" s="196" t="s">
        <v>306</v>
      </c>
      <c r="E75" s="186">
        <f>SUM(E76:E78)</f>
        <v>34800</v>
      </c>
      <c r="F75" s="186">
        <f>SUM(F76:F78)</f>
        <v>34800</v>
      </c>
      <c r="G75" s="186">
        <f>SUM(G76:G78)</f>
        <v>34800</v>
      </c>
      <c r="H75" s="186">
        <f>SUM(H76:H78)</f>
        <v>2000</v>
      </c>
      <c r="I75" s="186">
        <f>SUM(I76:I78)</f>
        <v>32800</v>
      </c>
      <c r="J75" s="186">
        <f>SUM(J76:J78)</f>
        <v>0</v>
      </c>
      <c r="K75" s="186">
        <f>SUM(K76:K78)</f>
        <v>0</v>
      </c>
      <c r="L75" s="186">
        <f>SUM(L76:L78)</f>
        <v>0</v>
      </c>
      <c r="M75" s="186">
        <f>SUM(M76:M78)</f>
        <v>0</v>
      </c>
      <c r="N75" s="186">
        <f>SUM(N76:N78)</f>
        <v>0</v>
      </c>
      <c r="O75" s="186">
        <f>SUM(O76:O78)</f>
        <v>0</v>
      </c>
      <c r="P75" s="186">
        <f>SUM(P76:P78)</f>
        <v>0</v>
      </c>
      <c r="Q75" s="186">
        <f>SUM(Q76:Q78)</f>
        <v>0</v>
      </c>
      <c r="R75" s="186">
        <f>SUM(R76:R78)</f>
        <v>0</v>
      </c>
    </row>
    <row r="76" spans="1:18" ht="22.5" customHeight="1">
      <c r="A76" s="188"/>
      <c r="B76" s="188"/>
      <c r="C76" s="188">
        <v>4170</v>
      </c>
      <c r="D76" s="187" t="s">
        <v>292</v>
      </c>
      <c r="E76" s="189">
        <f>F76+O76</f>
        <v>2000</v>
      </c>
      <c r="F76" s="189">
        <f>G76+K76+L76+J76+N76+M76</f>
        <v>2000</v>
      </c>
      <c r="G76" s="189">
        <f>H76+I76</f>
        <v>2000</v>
      </c>
      <c r="H76" s="191">
        <v>2000</v>
      </c>
      <c r="I76" s="190">
        <f>SUM(J76:T76)</f>
        <v>0</v>
      </c>
      <c r="J76" s="191"/>
      <c r="K76" s="191"/>
      <c r="L76" s="191"/>
      <c r="M76" s="190"/>
      <c r="N76" s="190"/>
      <c r="O76" s="190">
        <f>P76+R76</f>
        <v>0</v>
      </c>
      <c r="P76" s="192"/>
      <c r="Q76" s="192"/>
      <c r="R76" s="190"/>
    </row>
    <row r="77" spans="1:18" ht="22.5" customHeight="1">
      <c r="A77" s="188"/>
      <c r="B77" s="188"/>
      <c r="C77" s="188">
        <v>4210</v>
      </c>
      <c r="D77" s="187" t="s">
        <v>273</v>
      </c>
      <c r="E77" s="189">
        <f>F77+O77</f>
        <v>15000</v>
      </c>
      <c r="F77" s="189">
        <f>G77+K77+L77+J77+N77+M77</f>
        <v>15000</v>
      </c>
      <c r="G77" s="189">
        <f>H77+I77</f>
        <v>15000</v>
      </c>
      <c r="H77" s="190"/>
      <c r="I77" s="191">
        <v>15000</v>
      </c>
      <c r="J77" s="190"/>
      <c r="K77" s="190"/>
      <c r="L77" s="190"/>
      <c r="M77" s="190"/>
      <c r="N77" s="190"/>
      <c r="O77" s="190">
        <f>P77+R77</f>
        <v>0</v>
      </c>
      <c r="P77" s="192"/>
      <c r="Q77" s="192"/>
      <c r="R77" s="190"/>
    </row>
    <row r="78" spans="1:18" ht="22.5" customHeight="1">
      <c r="A78" s="188"/>
      <c r="B78" s="188"/>
      <c r="C78" s="188">
        <v>4300</v>
      </c>
      <c r="D78" s="187" t="s">
        <v>269</v>
      </c>
      <c r="E78" s="189">
        <f>F78+O78</f>
        <v>17800</v>
      </c>
      <c r="F78" s="189">
        <f>G78+K78+L78+J78+N78+M78</f>
        <v>17800</v>
      </c>
      <c r="G78" s="189">
        <f>H78+I78</f>
        <v>17800</v>
      </c>
      <c r="H78" s="190"/>
      <c r="I78" s="191">
        <v>17800</v>
      </c>
      <c r="J78" s="190"/>
      <c r="K78" s="190"/>
      <c r="L78" s="190"/>
      <c r="M78" s="190"/>
      <c r="N78" s="190"/>
      <c r="O78" s="190">
        <f>P78+R78</f>
        <v>0</v>
      </c>
      <c r="P78" s="192"/>
      <c r="Q78" s="192"/>
      <c r="R78" s="190"/>
    </row>
    <row r="79" spans="1:18" ht="22.5" customHeight="1">
      <c r="A79" s="184"/>
      <c r="B79" s="184">
        <v>75095</v>
      </c>
      <c r="C79" s="184"/>
      <c r="D79" s="196" t="s">
        <v>95</v>
      </c>
      <c r="E79" s="186">
        <f>SUM(E80:E83)</f>
        <v>132992</v>
      </c>
      <c r="F79" s="186">
        <f>SUM(F80:F83)</f>
        <v>132992</v>
      </c>
      <c r="G79" s="186">
        <f>SUM(G80:G83)</f>
        <v>33200</v>
      </c>
      <c r="H79" s="186">
        <f>SUM(H80:H83)</f>
        <v>0</v>
      </c>
      <c r="I79" s="186">
        <f>SUM(I80:I83)</f>
        <v>33200</v>
      </c>
      <c r="J79" s="186">
        <f>SUM(J80:J83)</f>
        <v>0</v>
      </c>
      <c r="K79" s="186">
        <f>SUM(K80:K83)</f>
        <v>99792</v>
      </c>
      <c r="L79" s="186">
        <f>SUM(L80:L83)</f>
        <v>0</v>
      </c>
      <c r="M79" s="186">
        <f>SUM(M80:M83)</f>
        <v>0</v>
      </c>
      <c r="N79" s="186">
        <f>SUM(N80:N83)</f>
        <v>0</v>
      </c>
      <c r="O79" s="186">
        <f>SUM(O80:O83)</f>
        <v>0</v>
      </c>
      <c r="P79" s="186">
        <f>SUM(P80:P83)</f>
        <v>0</v>
      </c>
      <c r="Q79" s="186">
        <f>SUM(Q80:Q83)</f>
        <v>0</v>
      </c>
      <c r="R79" s="186">
        <f>SUM(R80:R83)</f>
        <v>0</v>
      </c>
    </row>
    <row r="80" spans="1:18" ht="22.5" customHeight="1">
      <c r="A80" s="188"/>
      <c r="B80" s="188"/>
      <c r="C80" s="188">
        <v>3030</v>
      </c>
      <c r="D80" s="187" t="s">
        <v>307</v>
      </c>
      <c r="E80" s="189">
        <f>F80+O80</f>
        <v>99792</v>
      </c>
      <c r="F80" s="189">
        <f>G80+K80+L80+J80+N80+M80</f>
        <v>99792</v>
      </c>
      <c r="G80" s="189">
        <f>H80+I80</f>
        <v>0</v>
      </c>
      <c r="H80" s="190"/>
      <c r="I80" s="191">
        <f>Q80</f>
        <v>0</v>
      </c>
      <c r="J80" s="190"/>
      <c r="K80" s="191">
        <f>8316*12</f>
        <v>99792</v>
      </c>
      <c r="L80" s="190"/>
      <c r="M80" s="190"/>
      <c r="N80" s="194"/>
      <c r="O80" s="190">
        <f>P80+R80</f>
        <v>0</v>
      </c>
      <c r="P80" s="192"/>
      <c r="Q80" s="192"/>
      <c r="R80" s="190"/>
    </row>
    <row r="81" spans="1:18" ht="22.5" customHeight="1">
      <c r="A81" s="188"/>
      <c r="B81" s="188"/>
      <c r="C81" s="188">
        <v>4210</v>
      </c>
      <c r="D81" s="187" t="s">
        <v>273</v>
      </c>
      <c r="E81" s="189">
        <f>F81+O81</f>
        <v>4100</v>
      </c>
      <c r="F81" s="189">
        <f>G81+K81+L81+J81+N81+M81</f>
        <v>4100</v>
      </c>
      <c r="G81" s="189">
        <f>H81+I81</f>
        <v>4100</v>
      </c>
      <c r="H81" s="190"/>
      <c r="I81" s="191">
        <v>4100</v>
      </c>
      <c r="J81" s="190"/>
      <c r="K81" s="190"/>
      <c r="L81" s="190"/>
      <c r="M81" s="190"/>
      <c r="N81" s="190"/>
      <c r="O81" s="190">
        <f>P81+R81</f>
        <v>0</v>
      </c>
      <c r="P81" s="192"/>
      <c r="Q81" s="192"/>
      <c r="R81" s="190"/>
    </row>
    <row r="82" spans="1:18" ht="22.5" customHeight="1">
      <c r="A82" s="188"/>
      <c r="B82" s="188"/>
      <c r="C82" s="188">
        <v>4300</v>
      </c>
      <c r="D82" s="187" t="s">
        <v>269</v>
      </c>
      <c r="E82" s="189">
        <f>F82+O82</f>
        <v>4100</v>
      </c>
      <c r="F82" s="189">
        <f>G82+K82+L82+J82+N82+M82</f>
        <v>4100</v>
      </c>
      <c r="G82" s="189">
        <f>H82+I82</f>
        <v>4100</v>
      </c>
      <c r="H82" s="190"/>
      <c r="I82" s="191">
        <v>4100</v>
      </c>
      <c r="J82" s="190"/>
      <c r="K82" s="190"/>
      <c r="L82" s="190"/>
      <c r="M82" s="190"/>
      <c r="N82" s="190"/>
      <c r="O82" s="190">
        <f>P82+R82</f>
        <v>0</v>
      </c>
      <c r="P82" s="192"/>
      <c r="Q82" s="192"/>
      <c r="R82" s="190"/>
    </row>
    <row r="83" spans="1:18" ht="22.5" customHeight="1">
      <c r="A83" s="188"/>
      <c r="B83" s="188"/>
      <c r="C83" s="188">
        <v>4430</v>
      </c>
      <c r="D83" s="187" t="s">
        <v>277</v>
      </c>
      <c r="E83" s="189">
        <f>F83+O83</f>
        <v>25000</v>
      </c>
      <c r="F83" s="189">
        <f>G83+K83+L83+J83+N83+M83</f>
        <v>25000</v>
      </c>
      <c r="G83" s="189">
        <f>H83+I83</f>
        <v>25000</v>
      </c>
      <c r="H83" s="190"/>
      <c r="I83" s="191">
        <v>25000</v>
      </c>
      <c r="J83" s="190"/>
      <c r="K83" s="190"/>
      <c r="L83" s="190"/>
      <c r="M83" s="190"/>
      <c r="N83" s="190"/>
      <c r="O83" s="190">
        <f>P83+R83</f>
        <v>0</v>
      </c>
      <c r="P83" s="192"/>
      <c r="Q83" s="192"/>
      <c r="R83" s="190"/>
    </row>
    <row r="84" spans="1:18" ht="39" customHeight="1">
      <c r="A84" s="181" t="s">
        <v>308</v>
      </c>
      <c r="B84" s="181"/>
      <c r="C84" s="181"/>
      <c r="D84" s="181" t="s">
        <v>309</v>
      </c>
      <c r="E84" s="182">
        <f>E85+E96</f>
        <v>967000</v>
      </c>
      <c r="F84" s="182">
        <f>F85+F96</f>
        <v>267000</v>
      </c>
      <c r="G84" s="182">
        <f>G85+G96</f>
        <v>242000</v>
      </c>
      <c r="H84" s="182">
        <f>H85+H96</f>
        <v>41500</v>
      </c>
      <c r="I84" s="182">
        <f>I85+I96</f>
        <v>200500</v>
      </c>
      <c r="J84" s="182">
        <f>J85+J96</f>
        <v>0</v>
      </c>
      <c r="K84" s="182">
        <f>K85+K96</f>
        <v>25000</v>
      </c>
      <c r="L84" s="182">
        <f>L85+L96</f>
        <v>0</v>
      </c>
      <c r="M84" s="182">
        <f>M85+M96</f>
        <v>0</v>
      </c>
      <c r="N84" s="182">
        <f>N85+N96</f>
        <v>0</v>
      </c>
      <c r="O84" s="182">
        <f>O85+O96</f>
        <v>700000</v>
      </c>
      <c r="P84" s="182">
        <f>P85+P96</f>
        <v>700000</v>
      </c>
      <c r="Q84" s="182">
        <f>Q85+Q96</f>
        <v>0</v>
      </c>
      <c r="R84" s="182">
        <f>R85+R96</f>
        <v>0</v>
      </c>
    </row>
    <row r="85" spans="1:18" ht="22.5" customHeight="1">
      <c r="A85" s="184"/>
      <c r="B85" s="184">
        <v>75412</v>
      </c>
      <c r="C85" s="184"/>
      <c r="D85" s="196" t="s">
        <v>310</v>
      </c>
      <c r="E85" s="186">
        <f>SUM(E86:E95)</f>
        <v>887000</v>
      </c>
      <c r="F85" s="186">
        <f>SUM(F86:F95)</f>
        <v>187000</v>
      </c>
      <c r="G85" s="186">
        <f>SUM(G86:G95)</f>
        <v>162000</v>
      </c>
      <c r="H85" s="186">
        <f>SUM(H86:H95)</f>
        <v>41500</v>
      </c>
      <c r="I85" s="186">
        <f>SUM(I86:I95)</f>
        <v>120500</v>
      </c>
      <c r="J85" s="186">
        <f>SUM(J86:J95)</f>
        <v>0</v>
      </c>
      <c r="K85" s="186">
        <f>SUM(K86:K95)</f>
        <v>25000</v>
      </c>
      <c r="L85" s="186">
        <f>SUM(L86:L95)</f>
        <v>0</v>
      </c>
      <c r="M85" s="186">
        <f>SUM(M86:M95)</f>
        <v>0</v>
      </c>
      <c r="N85" s="186">
        <f>SUM(N86:N95)</f>
        <v>0</v>
      </c>
      <c r="O85" s="186">
        <f>SUM(O86:O95)</f>
        <v>700000</v>
      </c>
      <c r="P85" s="186">
        <f>SUM(P86:P95)</f>
        <v>700000</v>
      </c>
      <c r="Q85" s="186">
        <f>SUM(Q86:Q95)</f>
        <v>0</v>
      </c>
      <c r="R85" s="186">
        <f>SUM(R86:R95)</f>
        <v>0</v>
      </c>
    </row>
    <row r="86" spans="1:18" ht="22.5" customHeight="1">
      <c r="A86" s="188"/>
      <c r="B86" s="188"/>
      <c r="C86" s="188">
        <v>3020</v>
      </c>
      <c r="D86" s="187" t="s">
        <v>311</v>
      </c>
      <c r="E86" s="189">
        <f>F86+O86</f>
        <v>25000</v>
      </c>
      <c r="F86" s="189">
        <f>G86+K86+L86+J86+N86+M86</f>
        <v>25000</v>
      </c>
      <c r="G86" s="189">
        <f>H86+I86</f>
        <v>0</v>
      </c>
      <c r="H86" s="190"/>
      <c r="I86" s="190">
        <f>Q86</f>
        <v>0</v>
      </c>
      <c r="J86" s="190"/>
      <c r="K86" s="190">
        <v>25000</v>
      </c>
      <c r="L86" s="190"/>
      <c r="M86" s="190"/>
      <c r="N86" s="190"/>
      <c r="O86" s="190">
        <f>P86+R86</f>
        <v>0</v>
      </c>
      <c r="P86" s="192"/>
      <c r="Q86" s="192"/>
      <c r="R86" s="190"/>
    </row>
    <row r="87" spans="1:18" ht="22.5" customHeight="1">
      <c r="A87" s="188"/>
      <c r="B87" s="188"/>
      <c r="C87" s="188">
        <v>4110</v>
      </c>
      <c r="D87" s="187" t="s">
        <v>289</v>
      </c>
      <c r="E87" s="189">
        <f>F87+O87</f>
        <v>700</v>
      </c>
      <c r="F87" s="189">
        <f>G87+K87+L87+J87+N87+M87</f>
        <v>700</v>
      </c>
      <c r="G87" s="189">
        <f>H87+I87</f>
        <v>700</v>
      </c>
      <c r="H87" s="191">
        <v>700</v>
      </c>
      <c r="I87" s="190">
        <f>K87</f>
        <v>0</v>
      </c>
      <c r="J87" s="191"/>
      <c r="K87" s="191"/>
      <c r="L87" s="191"/>
      <c r="M87" s="190"/>
      <c r="N87" s="190"/>
      <c r="O87" s="190">
        <f>P87+R87</f>
        <v>0</v>
      </c>
      <c r="P87" s="192"/>
      <c r="Q87" s="192"/>
      <c r="R87" s="190"/>
    </row>
    <row r="88" spans="1:18" ht="22.5" customHeight="1">
      <c r="A88" s="188"/>
      <c r="B88" s="188"/>
      <c r="C88" s="188">
        <v>4170</v>
      </c>
      <c r="D88" s="187" t="s">
        <v>292</v>
      </c>
      <c r="E88" s="189">
        <f>F88+O88</f>
        <v>40800</v>
      </c>
      <c r="F88" s="189">
        <f>G88+K88+L88+J88+N88+M88</f>
        <v>40800</v>
      </c>
      <c r="G88" s="189">
        <f>H88+I88</f>
        <v>40800</v>
      </c>
      <c r="H88" s="191">
        <v>40800</v>
      </c>
      <c r="I88" s="191"/>
      <c r="J88" s="190"/>
      <c r="K88" s="190"/>
      <c r="L88" s="190"/>
      <c r="M88" s="190"/>
      <c r="N88" s="190"/>
      <c r="O88" s="190">
        <f>P88+R88</f>
        <v>0</v>
      </c>
      <c r="P88" s="192"/>
      <c r="Q88" s="192"/>
      <c r="R88" s="190"/>
    </row>
    <row r="89" spans="1:18" ht="22.5" customHeight="1">
      <c r="A89" s="188"/>
      <c r="B89" s="188"/>
      <c r="C89" s="188">
        <v>4210</v>
      </c>
      <c r="D89" s="187" t="s">
        <v>273</v>
      </c>
      <c r="E89" s="189">
        <f>F89+O89</f>
        <v>32600</v>
      </c>
      <c r="F89" s="189">
        <f>G89+K89+L89+J89+N89+M89</f>
        <v>32600</v>
      </c>
      <c r="G89" s="189">
        <f>H89+I89</f>
        <v>32600</v>
      </c>
      <c r="H89" s="190"/>
      <c r="I89" s="191">
        <v>32600</v>
      </c>
      <c r="J89" s="190"/>
      <c r="K89" s="190"/>
      <c r="L89" s="190"/>
      <c r="M89" s="190"/>
      <c r="N89" s="190"/>
      <c r="O89" s="190">
        <f>P89+R89</f>
        <v>0</v>
      </c>
      <c r="P89" s="192"/>
      <c r="Q89" s="192"/>
      <c r="R89" s="190"/>
    </row>
    <row r="90" spans="1:18" ht="22.5" customHeight="1">
      <c r="A90" s="188"/>
      <c r="B90" s="188"/>
      <c r="C90" s="188">
        <v>4260</v>
      </c>
      <c r="D90" s="187" t="s">
        <v>293</v>
      </c>
      <c r="E90" s="189">
        <f>F90+O90</f>
        <v>10200</v>
      </c>
      <c r="F90" s="189">
        <f>G90+K90+L90+J90+N90+M90</f>
        <v>10200</v>
      </c>
      <c r="G90" s="189">
        <f>H90+I90</f>
        <v>10200</v>
      </c>
      <c r="H90" s="190"/>
      <c r="I90" s="191">
        <v>10200</v>
      </c>
      <c r="J90" s="190"/>
      <c r="K90" s="190"/>
      <c r="L90" s="190"/>
      <c r="M90" s="190"/>
      <c r="N90" s="190"/>
      <c r="O90" s="190">
        <f>P90+R90</f>
        <v>0</v>
      </c>
      <c r="P90" s="192"/>
      <c r="Q90" s="192"/>
      <c r="R90" s="190"/>
    </row>
    <row r="91" spans="1:18" ht="22.5" customHeight="1">
      <c r="A91" s="188"/>
      <c r="B91" s="188"/>
      <c r="C91" s="188">
        <v>4270</v>
      </c>
      <c r="D91" s="187" t="s">
        <v>294</v>
      </c>
      <c r="E91" s="189">
        <f>F91+O91</f>
        <v>15000</v>
      </c>
      <c r="F91" s="189">
        <f>G91+K91+L91+J91+N91+M91</f>
        <v>15000</v>
      </c>
      <c r="G91" s="189">
        <f>H91+I91</f>
        <v>15000</v>
      </c>
      <c r="H91" s="190"/>
      <c r="I91" s="191">
        <v>15000</v>
      </c>
      <c r="J91" s="190"/>
      <c r="K91" s="190"/>
      <c r="L91" s="190"/>
      <c r="M91" s="190"/>
      <c r="N91" s="190"/>
      <c r="O91" s="190">
        <f>P91+R91</f>
        <v>0</v>
      </c>
      <c r="P91" s="192"/>
      <c r="Q91" s="192"/>
      <c r="R91" s="190"/>
    </row>
    <row r="92" spans="1:18" ht="22.5" customHeight="1">
      <c r="A92" s="188"/>
      <c r="B92" s="188"/>
      <c r="C92" s="188">
        <v>4280</v>
      </c>
      <c r="D92" s="187" t="s">
        <v>295</v>
      </c>
      <c r="E92" s="189">
        <f>F92+O92</f>
        <v>3500</v>
      </c>
      <c r="F92" s="189">
        <f>G92+K92+L92+J92+N92+M92</f>
        <v>3500</v>
      </c>
      <c r="G92" s="189">
        <f>H92+I92</f>
        <v>3500</v>
      </c>
      <c r="H92" s="190"/>
      <c r="I92" s="191">
        <v>3500</v>
      </c>
      <c r="J92" s="190"/>
      <c r="K92" s="190"/>
      <c r="L92" s="190"/>
      <c r="M92" s="190"/>
      <c r="N92" s="190"/>
      <c r="O92" s="190">
        <f>P92+R92</f>
        <v>0</v>
      </c>
      <c r="P92" s="192"/>
      <c r="Q92" s="192"/>
      <c r="R92" s="190"/>
    </row>
    <row r="93" spans="1:18" ht="22.5" customHeight="1">
      <c r="A93" s="188"/>
      <c r="B93" s="188"/>
      <c r="C93" s="188">
        <v>4300</v>
      </c>
      <c r="D93" s="187" t="s">
        <v>296</v>
      </c>
      <c r="E93" s="189">
        <f>F93+O93</f>
        <v>44700</v>
      </c>
      <c r="F93" s="189">
        <f>G93+K93+L93+J93+N93+M93</f>
        <v>44700</v>
      </c>
      <c r="G93" s="189">
        <f>H93+I93</f>
        <v>44700</v>
      </c>
      <c r="H93" s="190"/>
      <c r="I93" s="191">
        <f>50500-14000+8200</f>
        <v>44700</v>
      </c>
      <c r="J93" s="190"/>
      <c r="K93" s="190"/>
      <c r="L93" s="190"/>
      <c r="M93" s="190"/>
      <c r="N93" s="190"/>
      <c r="O93" s="190">
        <f>P93+R93</f>
        <v>0</v>
      </c>
      <c r="P93" s="192"/>
      <c r="Q93" s="192"/>
      <c r="R93" s="190"/>
    </row>
    <row r="94" spans="1:18" ht="22.5" customHeight="1">
      <c r="A94" s="188"/>
      <c r="B94" s="188"/>
      <c r="C94" s="188">
        <v>4430</v>
      </c>
      <c r="D94" s="187" t="s">
        <v>277</v>
      </c>
      <c r="E94" s="189">
        <f>F94+O94</f>
        <v>14500</v>
      </c>
      <c r="F94" s="189">
        <f>G94+K94+L94+J94+N94+M94</f>
        <v>14500</v>
      </c>
      <c r="G94" s="189">
        <f>H94+I94</f>
        <v>14500</v>
      </c>
      <c r="H94" s="190"/>
      <c r="I94" s="191">
        <f>500+14000</f>
        <v>14500</v>
      </c>
      <c r="J94" s="190"/>
      <c r="K94" s="190"/>
      <c r="L94" s="190"/>
      <c r="M94" s="190"/>
      <c r="N94" s="190"/>
      <c r="O94" s="190">
        <f>P94+R94</f>
        <v>0</v>
      </c>
      <c r="P94" s="192"/>
      <c r="Q94" s="192"/>
      <c r="R94" s="190"/>
    </row>
    <row r="95" spans="1:18" ht="22.5" customHeight="1">
      <c r="A95" s="188"/>
      <c r="B95" s="188"/>
      <c r="C95" s="188">
        <v>6050</v>
      </c>
      <c r="D95" s="187" t="s">
        <v>270</v>
      </c>
      <c r="E95" s="189">
        <f>F95+O95</f>
        <v>700000</v>
      </c>
      <c r="F95" s="189">
        <f>G95+K95+L95+J95+N95+M95</f>
        <v>0</v>
      </c>
      <c r="G95" s="189">
        <f>H95+I95</f>
        <v>0</v>
      </c>
      <c r="H95" s="190"/>
      <c r="I95" s="190"/>
      <c r="J95" s="190"/>
      <c r="K95" s="190"/>
      <c r="L95" s="190"/>
      <c r="M95" s="190"/>
      <c r="N95" s="190"/>
      <c r="O95" s="190">
        <f>P95+R95</f>
        <v>700000</v>
      </c>
      <c r="P95" s="191">
        <f>'zał 11'!E27</f>
        <v>700000</v>
      </c>
      <c r="Q95" s="193"/>
      <c r="R95" s="193"/>
    </row>
    <row r="96" spans="1:18" ht="22.5" customHeight="1">
      <c r="A96" s="184"/>
      <c r="B96" s="184">
        <v>75421</v>
      </c>
      <c r="C96" s="184"/>
      <c r="D96" s="196" t="s">
        <v>312</v>
      </c>
      <c r="E96" s="186">
        <f>E97</f>
        <v>80000</v>
      </c>
      <c r="F96" s="186">
        <f>F97</f>
        <v>80000</v>
      </c>
      <c r="G96" s="186">
        <f>G97</f>
        <v>80000</v>
      </c>
      <c r="H96" s="186">
        <f>H97</f>
        <v>0</v>
      </c>
      <c r="I96" s="186">
        <f>I97</f>
        <v>80000</v>
      </c>
      <c r="J96" s="186">
        <f>J97</f>
        <v>0</v>
      </c>
      <c r="K96" s="186">
        <f>K97</f>
        <v>0</v>
      </c>
      <c r="L96" s="186">
        <f>L97</f>
        <v>0</v>
      </c>
      <c r="M96" s="186">
        <f>M97</f>
        <v>0</v>
      </c>
      <c r="N96" s="186">
        <f>N97</f>
        <v>0</v>
      </c>
      <c r="O96" s="186">
        <f>O97</f>
        <v>0</v>
      </c>
      <c r="P96" s="186">
        <f>P97</f>
        <v>0</v>
      </c>
      <c r="Q96" s="186">
        <f>Q97</f>
        <v>0</v>
      </c>
      <c r="R96" s="186">
        <f>R97</f>
        <v>0</v>
      </c>
    </row>
    <row r="97" spans="1:18" ht="22.5" customHeight="1">
      <c r="A97" s="184"/>
      <c r="B97" s="188"/>
      <c r="C97" s="188">
        <v>4810</v>
      </c>
      <c r="D97" s="187" t="s">
        <v>313</v>
      </c>
      <c r="E97" s="189">
        <f>F97+O97</f>
        <v>80000</v>
      </c>
      <c r="F97" s="189">
        <f>G97+K97+L97+J97+N97+M97</f>
        <v>80000</v>
      </c>
      <c r="G97" s="189">
        <f>H97+I97</f>
        <v>80000</v>
      </c>
      <c r="H97" s="190"/>
      <c r="I97" s="190">
        <v>80000</v>
      </c>
      <c r="J97" s="190"/>
      <c r="K97" s="190"/>
      <c r="L97" s="190"/>
      <c r="M97" s="190"/>
      <c r="N97" s="190"/>
      <c r="O97" s="190">
        <f>P97+R97</f>
        <v>0</v>
      </c>
      <c r="P97" s="192"/>
      <c r="Q97" s="192"/>
      <c r="R97" s="190"/>
    </row>
    <row r="98" spans="1:18" ht="74.25" customHeight="1">
      <c r="A98" s="181">
        <v>756</v>
      </c>
      <c r="B98" s="181"/>
      <c r="C98" s="181"/>
      <c r="D98" s="181" t="s">
        <v>314</v>
      </c>
      <c r="E98" s="182">
        <f>E99</f>
        <v>46000</v>
      </c>
      <c r="F98" s="182">
        <f>F99</f>
        <v>46000</v>
      </c>
      <c r="G98" s="182">
        <f>G99</f>
        <v>46000</v>
      </c>
      <c r="H98" s="182">
        <f>H99</f>
        <v>0</v>
      </c>
      <c r="I98" s="182">
        <f>I99</f>
        <v>46000</v>
      </c>
      <c r="J98" s="182">
        <f>J99</f>
        <v>0</v>
      </c>
      <c r="K98" s="182">
        <f>K99</f>
        <v>0</v>
      </c>
      <c r="L98" s="182">
        <f>L99</f>
        <v>0</v>
      </c>
      <c r="M98" s="182">
        <f>M99</f>
        <v>0</v>
      </c>
      <c r="N98" s="182">
        <f>N99</f>
        <v>0</v>
      </c>
      <c r="O98" s="182">
        <f>O99</f>
        <v>0</v>
      </c>
      <c r="P98" s="182">
        <f>P99</f>
        <v>0</v>
      </c>
      <c r="Q98" s="182">
        <f>Q99</f>
        <v>0</v>
      </c>
      <c r="R98" s="182">
        <f>R99</f>
        <v>0</v>
      </c>
    </row>
    <row r="99" spans="1:18" ht="39" customHeight="1">
      <c r="A99" s="184"/>
      <c r="B99" s="184">
        <v>75647</v>
      </c>
      <c r="C99" s="184"/>
      <c r="D99" s="199" t="s">
        <v>315</v>
      </c>
      <c r="E99" s="186">
        <f>SUM(E100:E101)</f>
        <v>46000</v>
      </c>
      <c r="F99" s="186">
        <f>SUM(F100:F101)</f>
        <v>46000</v>
      </c>
      <c r="G99" s="186">
        <f>SUM(G100:G101)</f>
        <v>46000</v>
      </c>
      <c r="H99" s="186">
        <f>SUM(H100:H101)</f>
        <v>0</v>
      </c>
      <c r="I99" s="186">
        <f>SUM(I100:I101)</f>
        <v>46000</v>
      </c>
      <c r="J99" s="186">
        <f>SUM(J100:J101)</f>
        <v>0</v>
      </c>
      <c r="K99" s="186">
        <f>SUM(K100:K101)</f>
        <v>0</v>
      </c>
      <c r="L99" s="186">
        <f>SUM(L100:L101)</f>
        <v>0</v>
      </c>
      <c r="M99" s="186">
        <f>SUM(M100:M101)</f>
        <v>0</v>
      </c>
      <c r="N99" s="186">
        <f>SUM(N100:N101)</f>
        <v>0</v>
      </c>
      <c r="O99" s="186">
        <f>SUM(O100:O101)</f>
        <v>0</v>
      </c>
      <c r="P99" s="186">
        <f>SUM(P100:P101)</f>
        <v>0</v>
      </c>
      <c r="Q99" s="186">
        <f>SUM(Q100:Q101)</f>
        <v>0</v>
      </c>
      <c r="R99" s="186">
        <f>SUM(R100:R101)</f>
        <v>0</v>
      </c>
    </row>
    <row r="100" spans="1:18" ht="22.5" customHeight="1">
      <c r="A100" s="184"/>
      <c r="B100" s="188"/>
      <c r="C100" s="188">
        <v>4100</v>
      </c>
      <c r="D100" s="200" t="s">
        <v>316</v>
      </c>
      <c r="E100" s="189">
        <f>F100+O100</f>
        <v>41000</v>
      </c>
      <c r="F100" s="189">
        <f>G100+K100+L100+J100+N100+M100</f>
        <v>41000</v>
      </c>
      <c r="G100" s="189">
        <f>H100+I100</f>
        <v>41000</v>
      </c>
      <c r="H100" s="190"/>
      <c r="I100" s="191">
        <v>41000</v>
      </c>
      <c r="J100" s="190"/>
      <c r="K100" s="190"/>
      <c r="L100" s="190"/>
      <c r="M100" s="190"/>
      <c r="N100" s="190"/>
      <c r="O100" s="190">
        <f>P100+R100</f>
        <v>0</v>
      </c>
      <c r="P100" s="192"/>
      <c r="Q100" s="192"/>
      <c r="R100" s="190"/>
    </row>
    <row r="101" spans="1:18" ht="22.5" customHeight="1">
      <c r="A101" s="184"/>
      <c r="B101" s="188"/>
      <c r="C101" s="188">
        <v>4300</v>
      </c>
      <c r="D101" s="200" t="s">
        <v>269</v>
      </c>
      <c r="E101" s="189">
        <f>F101+O101</f>
        <v>5000</v>
      </c>
      <c r="F101" s="189">
        <f>G101+K101+L101+J101+N101+M101</f>
        <v>5000</v>
      </c>
      <c r="G101" s="189">
        <f>H101+I101</f>
        <v>5000</v>
      </c>
      <c r="H101" s="190"/>
      <c r="I101" s="191">
        <v>5000</v>
      </c>
      <c r="J101" s="190"/>
      <c r="K101" s="190"/>
      <c r="L101" s="190"/>
      <c r="M101" s="190"/>
      <c r="N101" s="190"/>
      <c r="O101" s="190">
        <f>P101+R101</f>
        <v>0</v>
      </c>
      <c r="P101" s="192"/>
      <c r="Q101" s="192"/>
      <c r="R101" s="190"/>
    </row>
    <row r="102" spans="1:18" ht="22.5" customHeight="1">
      <c r="A102" s="181">
        <v>757</v>
      </c>
      <c r="B102" s="181"/>
      <c r="C102" s="181"/>
      <c r="D102" s="181" t="s">
        <v>317</v>
      </c>
      <c r="E102" s="182">
        <f>E103</f>
        <v>1498024</v>
      </c>
      <c r="F102" s="182">
        <f>F103</f>
        <v>1498024</v>
      </c>
      <c r="G102" s="182">
        <f>G103</f>
        <v>0</v>
      </c>
      <c r="H102" s="182">
        <f>H103</f>
        <v>0</v>
      </c>
      <c r="I102" s="182">
        <f>I103</f>
        <v>0</v>
      </c>
      <c r="J102" s="182">
        <f>J103</f>
        <v>0</v>
      </c>
      <c r="K102" s="182">
        <f>K103</f>
        <v>0</v>
      </c>
      <c r="L102" s="182">
        <f>L103</f>
        <v>0</v>
      </c>
      <c r="M102" s="182">
        <f>M103</f>
        <v>0</v>
      </c>
      <c r="N102" s="182">
        <f>N103</f>
        <v>1498024</v>
      </c>
      <c r="O102" s="182">
        <f>O103</f>
        <v>0</v>
      </c>
      <c r="P102" s="182">
        <f>P103</f>
        <v>0</v>
      </c>
      <c r="Q102" s="182">
        <f>Q103</f>
        <v>0</v>
      </c>
      <c r="R102" s="182">
        <f>R103</f>
        <v>0</v>
      </c>
    </row>
    <row r="103" spans="1:18" ht="39" customHeight="1">
      <c r="A103" s="184"/>
      <c r="B103" s="184">
        <v>75702</v>
      </c>
      <c r="C103" s="184"/>
      <c r="D103" s="196" t="s">
        <v>318</v>
      </c>
      <c r="E103" s="186">
        <f>SUM(E104:E105)</f>
        <v>1498024</v>
      </c>
      <c r="F103" s="186">
        <f>SUM(F104:F105)</f>
        <v>1498024</v>
      </c>
      <c r="G103" s="186">
        <f>SUM(G104:G105)</f>
        <v>0</v>
      </c>
      <c r="H103" s="186">
        <f>SUM(H104:H105)</f>
        <v>0</v>
      </c>
      <c r="I103" s="186">
        <f>SUM(I104:I105)</f>
        <v>0</v>
      </c>
      <c r="J103" s="186">
        <f>SUM(J104:J105)</f>
        <v>0</v>
      </c>
      <c r="K103" s="186">
        <f>SUM(K104:K105)</f>
        <v>0</v>
      </c>
      <c r="L103" s="186">
        <f>SUM(L104:L105)</f>
        <v>0</v>
      </c>
      <c r="M103" s="186">
        <f>SUM(M104:M105)</f>
        <v>0</v>
      </c>
      <c r="N103" s="186">
        <f>SUM(N104:N105)</f>
        <v>1498024</v>
      </c>
      <c r="O103" s="186">
        <f>SUM(O104:O105)</f>
        <v>0</v>
      </c>
      <c r="P103" s="186">
        <f>SUM(P104:P105)</f>
        <v>0</v>
      </c>
      <c r="Q103" s="186">
        <f>SUM(Q104:Q105)</f>
        <v>0</v>
      </c>
      <c r="R103" s="186">
        <f>SUM(R104:R105)</f>
        <v>0</v>
      </c>
    </row>
    <row r="104" spans="1:18" ht="36.75" customHeight="1">
      <c r="A104" s="184"/>
      <c r="B104" s="188"/>
      <c r="C104" s="188">
        <v>8010</v>
      </c>
      <c r="D104" s="187" t="s">
        <v>319</v>
      </c>
      <c r="E104" s="189">
        <f>F104+O104</f>
        <v>50000</v>
      </c>
      <c r="F104" s="189">
        <f>G104+K104+L104+J104+N104+M104</f>
        <v>50000</v>
      </c>
      <c r="G104" s="189">
        <f>H104+I104</f>
        <v>0</v>
      </c>
      <c r="H104" s="190"/>
      <c r="I104" s="190"/>
      <c r="J104" s="190"/>
      <c r="K104" s="190"/>
      <c r="L104" s="190"/>
      <c r="M104" s="190"/>
      <c r="N104" s="191">
        <v>50000</v>
      </c>
      <c r="O104" s="190">
        <f>P104+R104</f>
        <v>0</v>
      </c>
      <c r="P104" s="191"/>
      <c r="Q104" s="201"/>
      <c r="R104" s="190"/>
    </row>
    <row r="105" spans="1:18" ht="36.75" customHeight="1">
      <c r="A105" s="184"/>
      <c r="B105" s="188"/>
      <c r="C105" s="188">
        <v>8110</v>
      </c>
      <c r="D105" s="187" t="s">
        <v>320</v>
      </c>
      <c r="E105" s="189">
        <f>F105+O105</f>
        <v>1448024</v>
      </c>
      <c r="F105" s="189">
        <f>G105+K105+L105+J105+N105+M105</f>
        <v>1448024</v>
      </c>
      <c r="G105" s="189">
        <f>H105+I105</f>
        <v>0</v>
      </c>
      <c r="H105" s="190"/>
      <c r="I105" s="190"/>
      <c r="J105" s="190"/>
      <c r="K105" s="190"/>
      <c r="L105" s="190"/>
      <c r="M105" s="190"/>
      <c r="N105" s="191">
        <f>416824+1031200</f>
        <v>1448024</v>
      </c>
      <c r="O105" s="190">
        <f>P105+R105</f>
        <v>0</v>
      </c>
      <c r="P105" s="191"/>
      <c r="Q105" s="190"/>
      <c r="R105" s="190"/>
    </row>
    <row r="106" spans="1:18" ht="22.5" customHeight="1">
      <c r="A106" s="181">
        <v>758</v>
      </c>
      <c r="B106" s="181"/>
      <c r="C106" s="181"/>
      <c r="D106" s="181" t="s">
        <v>175</v>
      </c>
      <c r="E106" s="182">
        <f>E107+E109</f>
        <v>380000</v>
      </c>
      <c r="F106" s="182">
        <f>F107+F109</f>
        <v>380000</v>
      </c>
      <c r="G106" s="182">
        <f>G107+G109</f>
        <v>380000</v>
      </c>
      <c r="H106" s="182">
        <f>H107+H109</f>
        <v>0</v>
      </c>
      <c r="I106" s="182">
        <f>I107+I109</f>
        <v>380000</v>
      </c>
      <c r="J106" s="182">
        <f>J107+J109</f>
        <v>0</v>
      </c>
      <c r="K106" s="182">
        <f>K107+K109</f>
        <v>0</v>
      </c>
      <c r="L106" s="182">
        <f>L107+L109</f>
        <v>0</v>
      </c>
      <c r="M106" s="182">
        <f>M107+M109</f>
        <v>0</v>
      </c>
      <c r="N106" s="182">
        <f>N107+N109</f>
        <v>0</v>
      </c>
      <c r="O106" s="182">
        <f>O107+O109</f>
        <v>0</v>
      </c>
      <c r="P106" s="182">
        <f>P107+P109</f>
        <v>0</v>
      </c>
      <c r="Q106" s="182">
        <f>Q107+Q109</f>
        <v>0</v>
      </c>
      <c r="R106" s="182">
        <f>R107+R109</f>
        <v>0</v>
      </c>
    </row>
    <row r="107" spans="1:18" ht="22.5" customHeight="1">
      <c r="A107" s="184"/>
      <c r="B107" s="184">
        <v>75814</v>
      </c>
      <c r="C107" s="184"/>
      <c r="D107" s="196" t="s">
        <v>321</v>
      </c>
      <c r="E107" s="186">
        <f>E108</f>
        <v>320000</v>
      </c>
      <c r="F107" s="186">
        <f>F108</f>
        <v>320000</v>
      </c>
      <c r="G107" s="186">
        <f>G108</f>
        <v>320000</v>
      </c>
      <c r="H107" s="186">
        <f>H108</f>
        <v>0</v>
      </c>
      <c r="I107" s="186">
        <f>I108</f>
        <v>320000</v>
      </c>
      <c r="J107" s="186">
        <f>J108</f>
        <v>0</v>
      </c>
      <c r="K107" s="186">
        <f>K108</f>
        <v>0</v>
      </c>
      <c r="L107" s="186">
        <f>L108</f>
        <v>0</v>
      </c>
      <c r="M107" s="186">
        <f>M108</f>
        <v>0</v>
      </c>
      <c r="N107" s="186">
        <f>N108</f>
        <v>0</v>
      </c>
      <c r="O107" s="186">
        <f>O108</f>
        <v>0</v>
      </c>
      <c r="P107" s="186">
        <f>P108</f>
        <v>0</v>
      </c>
      <c r="Q107" s="186">
        <f>Q108</f>
        <v>0</v>
      </c>
      <c r="R107" s="186">
        <f>R108</f>
        <v>0</v>
      </c>
    </row>
    <row r="108" spans="1:18" ht="36.75" customHeight="1">
      <c r="A108" s="184"/>
      <c r="B108" s="188"/>
      <c r="C108" s="188" t="s">
        <v>322</v>
      </c>
      <c r="D108" s="187" t="s">
        <v>323</v>
      </c>
      <c r="E108" s="189">
        <f>F108+O108</f>
        <v>320000</v>
      </c>
      <c r="F108" s="189">
        <f>G108+K108+L108+J108+N108+M108</f>
        <v>320000</v>
      </c>
      <c r="G108" s="189">
        <f>H108+I108</f>
        <v>320000</v>
      </c>
      <c r="H108" s="190"/>
      <c r="I108" s="191">
        <v>320000</v>
      </c>
      <c r="J108" s="190"/>
      <c r="K108" s="190"/>
      <c r="L108" s="190"/>
      <c r="M108" s="190"/>
      <c r="N108" s="190"/>
      <c r="O108" s="190"/>
      <c r="P108" s="192"/>
      <c r="Q108" s="192"/>
      <c r="R108" s="190"/>
    </row>
    <row r="109" spans="1:18" ht="22.5" customHeight="1">
      <c r="A109" s="184"/>
      <c r="B109" s="184">
        <v>75818</v>
      </c>
      <c r="C109" s="184"/>
      <c r="D109" s="196" t="s">
        <v>324</v>
      </c>
      <c r="E109" s="186">
        <f>E110</f>
        <v>60000</v>
      </c>
      <c r="F109" s="186">
        <f>F110</f>
        <v>60000</v>
      </c>
      <c r="G109" s="186">
        <f>G110</f>
        <v>60000</v>
      </c>
      <c r="H109" s="186">
        <f>H110</f>
        <v>0</v>
      </c>
      <c r="I109" s="186">
        <f>I110</f>
        <v>60000</v>
      </c>
      <c r="J109" s="186">
        <f>J110</f>
        <v>0</v>
      </c>
      <c r="K109" s="186">
        <f>K110</f>
        <v>0</v>
      </c>
      <c r="L109" s="186">
        <f>L110</f>
        <v>0</v>
      </c>
      <c r="M109" s="186">
        <f>M110</f>
        <v>0</v>
      </c>
      <c r="N109" s="186">
        <f>N110</f>
        <v>0</v>
      </c>
      <c r="O109" s="186">
        <f>O110</f>
        <v>0</v>
      </c>
      <c r="P109" s="186">
        <f>P110</f>
        <v>0</v>
      </c>
      <c r="Q109" s="186">
        <f>Q110</f>
        <v>0</v>
      </c>
      <c r="R109" s="186">
        <f>R110</f>
        <v>0</v>
      </c>
    </row>
    <row r="110" spans="1:18" ht="22.5" customHeight="1">
      <c r="A110" s="184"/>
      <c r="B110" s="188"/>
      <c r="C110" s="188">
        <v>4810</v>
      </c>
      <c r="D110" s="187" t="s">
        <v>325</v>
      </c>
      <c r="E110" s="189">
        <f>F110+O110</f>
        <v>60000</v>
      </c>
      <c r="F110" s="189">
        <f>G110+K110+L110+J110+N110+M110</f>
        <v>60000</v>
      </c>
      <c r="G110" s="189">
        <f>H110+I110</f>
        <v>60000</v>
      </c>
      <c r="H110" s="190"/>
      <c r="I110" s="190">
        <v>60000</v>
      </c>
      <c r="J110" s="190"/>
      <c r="K110" s="190"/>
      <c r="L110" s="190"/>
      <c r="M110" s="190"/>
      <c r="N110" s="190"/>
      <c r="O110" s="190"/>
      <c r="P110" s="192"/>
      <c r="Q110" s="192"/>
      <c r="R110" s="190"/>
    </row>
    <row r="111" spans="1:19" ht="22.5" customHeight="1">
      <c r="A111" s="181">
        <v>801</v>
      </c>
      <c r="B111" s="181"/>
      <c r="C111" s="181"/>
      <c r="D111" s="181" t="s">
        <v>180</v>
      </c>
      <c r="E111" s="182">
        <f>E112+E134+E144+E163+E183+E198+E204+E218</f>
        <v>21924975.9875</v>
      </c>
      <c r="F111" s="182">
        <f>F112+F134+F144+F163+F183+F198+F204+F218</f>
        <v>21124975.9875</v>
      </c>
      <c r="G111" s="182">
        <f>G112+G134+G144+G163+G183+G198+G204+G218</f>
        <v>18702265.5275</v>
      </c>
      <c r="H111" s="182">
        <f>H112+H134+H144+H163+H183+H198+H204+H218</f>
        <v>14179106.5275</v>
      </c>
      <c r="I111" s="182">
        <f>I112+I134+I144+I163+I183+I198+I204+I218</f>
        <v>4523159</v>
      </c>
      <c r="J111" s="182">
        <f>J112+J134+J144+J163+J183+J198+J204+J218</f>
        <v>1660776</v>
      </c>
      <c r="K111" s="182">
        <f>K112+K134+K144+K163+K183+K198+K204+K218</f>
        <v>93380</v>
      </c>
      <c r="L111" s="182">
        <f>L112+L134+L144+L163+L183+L198+L204+L218</f>
        <v>668554.46</v>
      </c>
      <c r="M111" s="182">
        <f>M112+M134+M144+M163+M183+M198+M204+M218</f>
        <v>0</v>
      </c>
      <c r="N111" s="182">
        <f>N112+N134+N144+N163+N183+N198+N204+N218</f>
        <v>0</v>
      </c>
      <c r="O111" s="182">
        <f>O112+O134+O144+O163+O183+O198+O204+O218</f>
        <v>800000</v>
      </c>
      <c r="P111" s="182">
        <f>P112+P134+P144+P163+P183+P198+P204+P218</f>
        <v>800000</v>
      </c>
      <c r="Q111" s="182">
        <f>Q112+Q134+Q144+Q163+Q183+Q198+Q204+Q218</f>
        <v>800000</v>
      </c>
      <c r="R111" s="182">
        <f>R112+R134+R144+R163+R183+R198+R204+R218</f>
        <v>0</v>
      </c>
      <c r="S111" s="202"/>
    </row>
    <row r="112" spans="1:19" ht="22.5" customHeight="1">
      <c r="A112" s="184"/>
      <c r="B112" s="184">
        <v>80101</v>
      </c>
      <c r="C112" s="184"/>
      <c r="D112" s="196" t="s">
        <v>181</v>
      </c>
      <c r="E112" s="186">
        <f>SUM(E113:E133)</f>
        <v>7971731</v>
      </c>
      <c r="F112" s="186">
        <f>SUM(F113:F133)</f>
        <v>7171731</v>
      </c>
      <c r="G112" s="186">
        <f>SUM(G113:G133)</f>
        <v>7116391</v>
      </c>
      <c r="H112" s="186">
        <f>SUM(H113:H133)</f>
        <v>6138595</v>
      </c>
      <c r="I112" s="186">
        <f>SUM(I113:I133)</f>
        <v>977796</v>
      </c>
      <c r="J112" s="186">
        <f>SUM(J113:J133)</f>
        <v>0</v>
      </c>
      <c r="K112" s="186">
        <f>SUM(K113:K133)</f>
        <v>55340</v>
      </c>
      <c r="L112" s="186">
        <f>SUM(L113:L133)</f>
        <v>0</v>
      </c>
      <c r="M112" s="186">
        <f>SUM(M113:M133)</f>
        <v>0</v>
      </c>
      <c r="N112" s="186">
        <f>SUM(N113:N133)</f>
        <v>0</v>
      </c>
      <c r="O112" s="186">
        <f>SUM(O113:O133)</f>
        <v>800000</v>
      </c>
      <c r="P112" s="186">
        <f>SUM(P113:P133)</f>
        <v>800000</v>
      </c>
      <c r="Q112" s="186">
        <f>SUM(Q113:Q133)</f>
        <v>800000</v>
      </c>
      <c r="R112" s="186">
        <f>SUM(R113:R133)</f>
        <v>0</v>
      </c>
      <c r="S112" s="203"/>
    </row>
    <row r="113" spans="1:19" ht="22.5" customHeight="1">
      <c r="A113" s="188"/>
      <c r="B113" s="188"/>
      <c r="C113" s="188">
        <v>3020</v>
      </c>
      <c r="D113" s="187" t="s">
        <v>326</v>
      </c>
      <c r="E113" s="189">
        <f>F113+O113</f>
        <v>54704</v>
      </c>
      <c r="F113" s="189">
        <f>G113+K113+L113+J113+N113+M113</f>
        <v>54704</v>
      </c>
      <c r="G113" s="189">
        <f>H113+I113</f>
        <v>0</v>
      </c>
      <c r="H113" s="191">
        <f>'zał 15'!H9+'zał 16'!H9+'zał 17'!H9</f>
        <v>0</v>
      </c>
      <c r="I113" s="191">
        <f>'zał 15'!I9+'zał 16'!I9+'zał 17'!I9</f>
        <v>0</v>
      </c>
      <c r="J113" s="191">
        <f>'zał 15'!J9+'zał 16'!J9+'zał 17'!J9</f>
        <v>0</v>
      </c>
      <c r="K113" s="191">
        <f>'zał 15'!K9+'zał 16'!K9+'zał 17'!K9</f>
        <v>54704</v>
      </c>
      <c r="L113" s="191">
        <f>'zał 15'!L9+'zał 16'!L9+'zał 17'!L9</f>
        <v>0</v>
      </c>
      <c r="M113" s="191">
        <f>'zał 15'!M9+'zał 16'!M9+'zał 17'!M9</f>
        <v>0</v>
      </c>
      <c r="N113" s="191">
        <f>'zał 15'!N9+'zał 16'!N9+'zał 17'!N9</f>
        <v>0</v>
      </c>
      <c r="O113" s="191">
        <f>P113+R113</f>
        <v>0</v>
      </c>
      <c r="P113" s="191">
        <f>Q113</f>
        <v>0</v>
      </c>
      <c r="Q113" s="191">
        <f>'zał 15'!Q9+'zał 16'!Q9+'zał 17'!Q9</f>
        <v>0</v>
      </c>
      <c r="R113" s="191">
        <f>'zał 15'!R9+'zał 16'!R9+'zał 17'!R9</f>
        <v>0</v>
      </c>
      <c r="S113" s="203"/>
    </row>
    <row r="114" spans="1:19" ht="22.5" customHeight="1">
      <c r="A114" s="184"/>
      <c r="B114" s="188"/>
      <c r="C114" s="188">
        <v>3050</v>
      </c>
      <c r="D114" s="187" t="s">
        <v>327</v>
      </c>
      <c r="E114" s="189">
        <f>F114+O114</f>
        <v>636</v>
      </c>
      <c r="F114" s="189">
        <f>G114+K114+L114+J114+N114+M114</f>
        <v>636</v>
      </c>
      <c r="G114" s="189">
        <f>H114+I114</f>
        <v>0</v>
      </c>
      <c r="H114" s="191">
        <f>'zał 15'!H10+'zał 16'!H10+'zał 17'!H10</f>
        <v>0</v>
      </c>
      <c r="I114" s="191">
        <f>'zał 15'!I10+'zał 16'!I10+'zał 17'!I10</f>
        <v>0</v>
      </c>
      <c r="J114" s="191">
        <f>'zał 15'!J10+'zał 16'!J10+'zał 17'!J10</f>
        <v>0</v>
      </c>
      <c r="K114" s="191">
        <f>'zał 15'!K10+'zał 16'!K10+'zał 17'!K10</f>
        <v>636</v>
      </c>
      <c r="L114" s="191"/>
      <c r="M114" s="191"/>
      <c r="N114" s="191"/>
      <c r="O114" s="191">
        <f>P114+R114</f>
        <v>0</v>
      </c>
      <c r="P114" s="191">
        <f>Q114</f>
        <v>0</v>
      </c>
      <c r="Q114" s="191">
        <f>'zał 15'!Q10+'zał 16'!Q10+'zał 17'!Q10</f>
        <v>0</v>
      </c>
      <c r="R114" s="191"/>
      <c r="S114" s="203"/>
    </row>
    <row r="115" spans="1:19" ht="22.5" customHeight="1">
      <c r="A115" s="184"/>
      <c r="B115" s="188"/>
      <c r="C115" s="188">
        <v>4010</v>
      </c>
      <c r="D115" s="187" t="s">
        <v>328</v>
      </c>
      <c r="E115" s="189">
        <f>F115+O115</f>
        <v>4754803</v>
      </c>
      <c r="F115" s="189">
        <f>G115+K115+L115+J115+N115+M115</f>
        <v>4754803</v>
      </c>
      <c r="G115" s="189">
        <f>H115+I115</f>
        <v>4754803</v>
      </c>
      <c r="H115" s="191">
        <f>'zał 15'!H11+'zał 16'!H11+'zał 17'!H11</f>
        <v>4754803</v>
      </c>
      <c r="I115" s="191">
        <f>'zał 15'!I11+'zał 16'!I11+'zał 17'!I11</f>
        <v>0</v>
      </c>
      <c r="J115" s="191">
        <f>'zał 15'!J11+'zał 16'!J11+'zał 17'!J11</f>
        <v>0</v>
      </c>
      <c r="K115" s="191">
        <f>'zał 15'!K11+'zał 16'!K11+'zał 17'!K11</f>
        <v>0</v>
      </c>
      <c r="L115" s="191"/>
      <c r="M115" s="191"/>
      <c r="N115" s="191"/>
      <c r="O115" s="191">
        <f>P115+R115</f>
        <v>0</v>
      </c>
      <c r="P115" s="191">
        <f>Q115</f>
        <v>0</v>
      </c>
      <c r="Q115" s="191">
        <f>'zał 15'!Q11+'zał 16'!Q11+'zał 17'!Q11</f>
        <v>0</v>
      </c>
      <c r="R115" s="191"/>
      <c r="S115" s="203"/>
    </row>
    <row r="116" spans="1:19" ht="22.5" customHeight="1">
      <c r="A116" s="184"/>
      <c r="B116" s="188"/>
      <c r="C116" s="188">
        <v>4040</v>
      </c>
      <c r="D116" s="187" t="s">
        <v>288</v>
      </c>
      <c r="E116" s="189">
        <f>F116+O116</f>
        <v>398379</v>
      </c>
      <c r="F116" s="189">
        <f>G116+K116+L116+J116+N116+M116</f>
        <v>398379</v>
      </c>
      <c r="G116" s="189">
        <f>H116+I116</f>
        <v>398379</v>
      </c>
      <c r="H116" s="191">
        <f>'zał 15'!H12+'zał 16'!H12+'zał 17'!H12</f>
        <v>398379</v>
      </c>
      <c r="I116" s="191">
        <f>'zał 15'!I12+'zał 16'!I12+'zał 17'!I12</f>
        <v>0</v>
      </c>
      <c r="J116" s="191">
        <f>'zał 15'!J12+'zał 16'!J12+'zał 17'!J12</f>
        <v>0</v>
      </c>
      <c r="K116" s="191">
        <f>'zał 15'!K12+'zał 16'!K12+'zał 17'!K12</f>
        <v>0</v>
      </c>
      <c r="L116" s="191"/>
      <c r="M116" s="191"/>
      <c r="N116" s="191"/>
      <c r="O116" s="191">
        <f>P116+R116</f>
        <v>0</v>
      </c>
      <c r="P116" s="191">
        <f>Q116</f>
        <v>0</v>
      </c>
      <c r="Q116" s="191">
        <f>'zał 15'!Q12+'zał 16'!Q12+'zał 17'!Q12</f>
        <v>0</v>
      </c>
      <c r="R116" s="191"/>
      <c r="S116" s="203"/>
    </row>
    <row r="117" spans="1:19" ht="22.5" customHeight="1">
      <c r="A117" s="184"/>
      <c r="B117" s="188"/>
      <c r="C117" s="188">
        <v>4110</v>
      </c>
      <c r="D117" s="187" t="s">
        <v>289</v>
      </c>
      <c r="E117" s="189">
        <f>F117+O117</f>
        <v>823034</v>
      </c>
      <c r="F117" s="189">
        <f>G117+K117+L117+J117+N117+M117</f>
        <v>823034</v>
      </c>
      <c r="G117" s="189">
        <f>H117+I117</f>
        <v>823034</v>
      </c>
      <c r="H117" s="191">
        <f>'zał 15'!H13+'zał 16'!H13+'zał 17'!H13</f>
        <v>823034</v>
      </c>
      <c r="I117" s="191">
        <f>'zał 15'!I13+'zał 16'!I13+'zał 17'!I13</f>
        <v>0</v>
      </c>
      <c r="J117" s="191">
        <f>'zał 15'!J13+'zał 16'!J13+'zał 17'!J13</f>
        <v>0</v>
      </c>
      <c r="K117" s="191">
        <f>'zał 15'!K13+'zał 16'!K13+'zał 17'!K13</f>
        <v>0</v>
      </c>
      <c r="L117" s="191"/>
      <c r="M117" s="191"/>
      <c r="N117" s="191"/>
      <c r="O117" s="191">
        <f>P117+R117</f>
        <v>0</v>
      </c>
      <c r="P117" s="191">
        <f>Q117</f>
        <v>0</v>
      </c>
      <c r="Q117" s="191">
        <f>'zał 15'!Q13+'zał 16'!Q13+'zał 17'!Q13</f>
        <v>0</v>
      </c>
      <c r="R117" s="191"/>
      <c r="S117" s="203"/>
    </row>
    <row r="118" spans="1:19" ht="22.5" customHeight="1">
      <c r="A118" s="184"/>
      <c r="B118" s="188"/>
      <c r="C118" s="188">
        <v>4120</v>
      </c>
      <c r="D118" s="187" t="s">
        <v>290</v>
      </c>
      <c r="E118" s="189">
        <f>F118+O118</f>
        <v>133579</v>
      </c>
      <c r="F118" s="189">
        <f>G118+K118+L118+J118+N118+M118</f>
        <v>133579</v>
      </c>
      <c r="G118" s="189">
        <f>H118+I118</f>
        <v>133579</v>
      </c>
      <c r="H118" s="191">
        <f>'zał 15'!H14+'zał 16'!H14+'zał 17'!H14</f>
        <v>133579</v>
      </c>
      <c r="I118" s="191">
        <f>'zał 15'!I14+'zał 16'!I14+'zał 17'!I14</f>
        <v>0</v>
      </c>
      <c r="J118" s="191">
        <f>'zał 15'!J14+'zał 16'!J14+'zał 17'!J14</f>
        <v>0</v>
      </c>
      <c r="K118" s="191">
        <f>'zał 15'!K14+'zał 16'!K14+'zał 17'!K14</f>
        <v>0</v>
      </c>
      <c r="L118" s="191"/>
      <c r="M118" s="191"/>
      <c r="N118" s="191"/>
      <c r="O118" s="191">
        <f>P118+R118</f>
        <v>0</v>
      </c>
      <c r="P118" s="191">
        <f>Q118</f>
        <v>0</v>
      </c>
      <c r="Q118" s="191">
        <f>'zał 15'!Q14+'zał 16'!Q14+'zał 17'!Q14</f>
        <v>0</v>
      </c>
      <c r="R118" s="191"/>
      <c r="S118" s="203"/>
    </row>
    <row r="119" spans="1:19" ht="22.5" customHeight="1">
      <c r="A119" s="184"/>
      <c r="B119" s="188"/>
      <c r="C119" s="188">
        <v>4170</v>
      </c>
      <c r="D119" s="187" t="s">
        <v>292</v>
      </c>
      <c r="E119" s="189">
        <f>F119+O119</f>
        <v>28800</v>
      </c>
      <c r="F119" s="189">
        <f>G119+K119+L119+J119+N119+M119</f>
        <v>28800</v>
      </c>
      <c r="G119" s="189">
        <f>H119+I119</f>
        <v>28800</v>
      </c>
      <c r="H119" s="191">
        <f>'zał 15'!H15+'zał 16'!H15+'zał 17'!H15</f>
        <v>28800</v>
      </c>
      <c r="I119" s="191">
        <f>'zał 15'!I15+'zał 16'!I15+'zał 17'!I15</f>
        <v>0</v>
      </c>
      <c r="J119" s="191">
        <f>'zał 15'!J15+'zał 16'!J15+'zał 17'!J15</f>
        <v>0</v>
      </c>
      <c r="K119" s="191">
        <f>'zał 15'!K15+'zał 16'!K15+'zał 17'!K15</f>
        <v>0</v>
      </c>
      <c r="L119" s="191"/>
      <c r="M119" s="191"/>
      <c r="N119" s="191"/>
      <c r="O119" s="191">
        <f>P119+R119</f>
        <v>0</v>
      </c>
      <c r="P119" s="191">
        <f>Q119</f>
        <v>0</v>
      </c>
      <c r="Q119" s="191">
        <f>'zał 15'!Q15+'zał 16'!Q15+'zał 17'!Q15</f>
        <v>0</v>
      </c>
      <c r="R119" s="191"/>
      <c r="S119" s="203"/>
    </row>
    <row r="120" spans="1:19" ht="22.5" customHeight="1">
      <c r="A120" s="184"/>
      <c r="B120" s="188"/>
      <c r="C120" s="188">
        <v>4210</v>
      </c>
      <c r="D120" s="187" t="s">
        <v>273</v>
      </c>
      <c r="E120" s="189">
        <f>F120+O120</f>
        <v>51390</v>
      </c>
      <c r="F120" s="189">
        <f>G120+K120+L120+J120+N120+M120</f>
        <v>51390</v>
      </c>
      <c r="G120" s="189">
        <f>H120+I120</f>
        <v>51390</v>
      </c>
      <c r="H120" s="191">
        <f>'zał 15'!H16+'zał 16'!H16+'zał 17'!H16</f>
        <v>0</v>
      </c>
      <c r="I120" s="191">
        <f>'zał 15'!I16+'zał 16'!I16+'zał 17'!I16</f>
        <v>51390</v>
      </c>
      <c r="J120" s="191">
        <f>'zał 15'!J16+'zał 16'!J16+'zał 17'!J16</f>
        <v>0</v>
      </c>
      <c r="K120" s="191">
        <f>'zał 15'!K16+'zał 16'!K16+'zał 17'!K16</f>
        <v>0</v>
      </c>
      <c r="L120" s="191"/>
      <c r="M120" s="191"/>
      <c r="N120" s="191"/>
      <c r="O120" s="191">
        <f>P120+R120</f>
        <v>0</v>
      </c>
      <c r="P120" s="191">
        <f>Q120</f>
        <v>0</v>
      </c>
      <c r="Q120" s="191">
        <f>'zał 15'!Q16+'zał 16'!Q16+'zał 17'!Q16</f>
        <v>0</v>
      </c>
      <c r="R120" s="191"/>
      <c r="S120" s="203"/>
    </row>
    <row r="121" spans="1:19" ht="36.75" customHeight="1">
      <c r="A121" s="188"/>
      <c r="B121" s="188"/>
      <c r="C121" s="188">
        <v>4240</v>
      </c>
      <c r="D121" s="187" t="s">
        <v>329</v>
      </c>
      <c r="E121" s="189">
        <f>F121+O121</f>
        <v>25000</v>
      </c>
      <c r="F121" s="189">
        <f>G121+K121+L121+J121+N121+M121</f>
        <v>25000</v>
      </c>
      <c r="G121" s="189">
        <f>H121+I121</f>
        <v>25000</v>
      </c>
      <c r="H121" s="191">
        <f>'zał 15'!H17+'zał 16'!H17+'zał 17'!H17</f>
        <v>0</v>
      </c>
      <c r="I121" s="191">
        <f>'zał 15'!I17+'zał 16'!I17+'zał 17'!I17</f>
        <v>25000</v>
      </c>
      <c r="J121" s="191">
        <f>'zał 15'!J17+'zał 16'!J17+'zał 17'!J17</f>
        <v>0</v>
      </c>
      <c r="K121" s="191">
        <f>'zał 15'!K17+'zał 16'!K17+'zał 17'!K17</f>
        <v>0</v>
      </c>
      <c r="L121" s="191"/>
      <c r="M121" s="191"/>
      <c r="N121" s="191"/>
      <c r="O121" s="191">
        <f>P121+R121</f>
        <v>0</v>
      </c>
      <c r="P121" s="191">
        <f>Q121</f>
        <v>0</v>
      </c>
      <c r="Q121" s="191">
        <f>'zał 15'!Q17+'zał 16'!Q17+'zał 17'!Q17</f>
        <v>0</v>
      </c>
      <c r="R121" s="191"/>
      <c r="S121" s="203"/>
    </row>
    <row r="122" spans="1:19" ht="22.5" customHeight="1">
      <c r="A122" s="188"/>
      <c r="B122" s="188"/>
      <c r="C122" s="188">
        <v>4260</v>
      </c>
      <c r="D122" s="187" t="s">
        <v>330</v>
      </c>
      <c r="E122" s="189">
        <f>F122+O122</f>
        <v>494000</v>
      </c>
      <c r="F122" s="189">
        <f>G122+K122+L122+J122+N122+M122</f>
        <v>494000</v>
      </c>
      <c r="G122" s="189">
        <f>H122+I122</f>
        <v>494000</v>
      </c>
      <c r="H122" s="191">
        <f>'zał 15'!H18+'zał 16'!H18+'zał 17'!H18</f>
        <v>0</v>
      </c>
      <c r="I122" s="191">
        <f>'zał 15'!I18+'zał 16'!I18+'zał 17'!I18</f>
        <v>494000</v>
      </c>
      <c r="J122" s="191">
        <f>'zał 15'!J18+'zał 16'!J18+'zał 17'!J18</f>
        <v>0</v>
      </c>
      <c r="K122" s="191">
        <f>'zał 15'!K18+'zał 16'!K18+'zał 17'!K18</f>
        <v>0</v>
      </c>
      <c r="L122" s="191"/>
      <c r="M122" s="191"/>
      <c r="N122" s="191"/>
      <c r="O122" s="191">
        <f>P122+R122</f>
        <v>0</v>
      </c>
      <c r="P122" s="191">
        <f>Q122</f>
        <v>0</v>
      </c>
      <c r="Q122" s="191">
        <f>'zał 15'!Q18+'zał 16'!Q18+'zał 17'!Q18</f>
        <v>0</v>
      </c>
      <c r="R122" s="191"/>
      <c r="S122" s="203"/>
    </row>
    <row r="123" spans="1:19" ht="22.5" customHeight="1">
      <c r="A123" s="188"/>
      <c r="B123" s="188"/>
      <c r="C123" s="188">
        <v>4270</v>
      </c>
      <c r="D123" s="187" t="s">
        <v>275</v>
      </c>
      <c r="E123" s="189">
        <f>F123+O123</f>
        <v>40000</v>
      </c>
      <c r="F123" s="189">
        <f>G123+K123+L123+J123+N123+M123</f>
        <v>40000</v>
      </c>
      <c r="G123" s="189">
        <f>H123+I123</f>
        <v>40000</v>
      </c>
      <c r="H123" s="191">
        <f>'zał 15'!H19+'zał 16'!H19+'zał 17'!H19</f>
        <v>0</v>
      </c>
      <c r="I123" s="191">
        <f>'zał 15'!I19+'zał 16'!I19+'zał 17'!I19</f>
        <v>40000</v>
      </c>
      <c r="J123" s="191">
        <f>'zał 15'!J19+'zał 16'!J19+'zał 17'!J19</f>
        <v>0</v>
      </c>
      <c r="K123" s="191">
        <f>'zał 15'!K19+'zał 16'!K19+'zał 17'!K19</f>
        <v>0</v>
      </c>
      <c r="L123" s="191"/>
      <c r="M123" s="191"/>
      <c r="N123" s="191"/>
      <c r="O123" s="191">
        <f>P123+R123</f>
        <v>0</v>
      </c>
      <c r="P123" s="191">
        <f>Q123</f>
        <v>0</v>
      </c>
      <c r="Q123" s="191">
        <f>'zał 15'!Q19+'zał 16'!Q19+'zał 17'!Q19</f>
        <v>0</v>
      </c>
      <c r="R123" s="191"/>
      <c r="S123" s="203"/>
    </row>
    <row r="124" spans="1:19" ht="22.5" customHeight="1">
      <c r="A124" s="188"/>
      <c r="B124" s="188"/>
      <c r="C124" s="188">
        <v>4280</v>
      </c>
      <c r="D124" s="187" t="s">
        <v>331</v>
      </c>
      <c r="E124" s="189">
        <f>F124+O124</f>
        <v>2900</v>
      </c>
      <c r="F124" s="189">
        <f>G124+K124+L124+J124+N124+M124</f>
        <v>2900</v>
      </c>
      <c r="G124" s="189">
        <f>H124+I124</f>
        <v>2900</v>
      </c>
      <c r="H124" s="191">
        <f>'zał 15'!H20+'zał 16'!H20+'zał 17'!H20</f>
        <v>0</v>
      </c>
      <c r="I124" s="191">
        <f>'zał 15'!I20+'zał 16'!I20+'zał 17'!I20</f>
        <v>2900</v>
      </c>
      <c r="J124" s="191">
        <f>'zał 15'!J20+'zał 16'!J20+'zał 17'!J20</f>
        <v>0</v>
      </c>
      <c r="K124" s="191">
        <f>'zał 15'!K20+'zał 16'!K20+'zał 17'!K20</f>
        <v>0</v>
      </c>
      <c r="L124" s="191"/>
      <c r="M124" s="190"/>
      <c r="N124" s="190"/>
      <c r="O124" s="191">
        <f>P124+R124</f>
        <v>0</v>
      </c>
      <c r="P124" s="191">
        <f>Q124</f>
        <v>0</v>
      </c>
      <c r="Q124" s="191">
        <f>'zał 15'!Q20+'zał 16'!Q20+'zał 17'!Q20</f>
        <v>0</v>
      </c>
      <c r="R124" s="190"/>
      <c r="S124" s="203"/>
    </row>
    <row r="125" spans="1:19" ht="22.5" customHeight="1">
      <c r="A125" s="188"/>
      <c r="B125" s="188"/>
      <c r="C125" s="188">
        <v>4300</v>
      </c>
      <c r="D125" s="187" t="s">
        <v>269</v>
      </c>
      <c r="E125" s="189">
        <f>F125+O125</f>
        <v>81366</v>
      </c>
      <c r="F125" s="189">
        <f>G125+K125+L125+J125+N125+M125</f>
        <v>81366</v>
      </c>
      <c r="G125" s="189">
        <f>H125+I125</f>
        <v>81366</v>
      </c>
      <c r="H125" s="191">
        <f>'zał 15'!H21+'zał 16'!H21+'zał 17'!H21</f>
        <v>0</v>
      </c>
      <c r="I125" s="191">
        <f>'zał 15'!I21+'zał 16'!I21+'zał 17'!I21</f>
        <v>81366</v>
      </c>
      <c r="J125" s="191">
        <f>'zał 15'!J21+'zał 16'!J21+'zał 17'!J21</f>
        <v>0</v>
      </c>
      <c r="K125" s="191">
        <f>'zał 15'!K21+'zał 16'!K21+'zał 17'!K21</f>
        <v>0</v>
      </c>
      <c r="L125" s="191"/>
      <c r="M125" s="191"/>
      <c r="N125" s="191"/>
      <c r="O125" s="191">
        <f>P125+R125</f>
        <v>0</v>
      </c>
      <c r="P125" s="191">
        <f>Q125</f>
        <v>0</v>
      </c>
      <c r="Q125" s="191">
        <f>'zał 15'!Q21+'zał 16'!Q21+'zał 17'!Q21</f>
        <v>0</v>
      </c>
      <c r="R125" s="191"/>
      <c r="S125" s="203"/>
    </row>
    <row r="126" spans="1:19" ht="22.5" customHeight="1">
      <c r="A126" s="188"/>
      <c r="B126" s="188"/>
      <c r="C126" s="188">
        <v>4350</v>
      </c>
      <c r="D126" s="187" t="s">
        <v>297</v>
      </c>
      <c r="E126" s="189">
        <f>F126+O126</f>
        <v>2292</v>
      </c>
      <c r="F126" s="189">
        <f>G126+K126+L126+J126+N126+M126</f>
        <v>2292</v>
      </c>
      <c r="G126" s="189">
        <f>H126+I126</f>
        <v>2292</v>
      </c>
      <c r="H126" s="191">
        <f>'zał 15'!H22+'zał 16'!H22+'zał 17'!H22</f>
        <v>0</v>
      </c>
      <c r="I126" s="191">
        <f>'zał 15'!I22+'zał 16'!I22+'zał 17'!I22</f>
        <v>2292</v>
      </c>
      <c r="J126" s="191">
        <f>'zał 15'!J22+'zał 16'!J22+'zał 17'!J22</f>
        <v>0</v>
      </c>
      <c r="K126" s="191">
        <f>'zał 15'!K22+'zał 16'!K22+'zał 17'!K22</f>
        <v>0</v>
      </c>
      <c r="L126" s="191"/>
      <c r="M126" s="190"/>
      <c r="N126" s="190"/>
      <c r="O126" s="191">
        <f>P126+R126</f>
        <v>0</v>
      </c>
      <c r="P126" s="191">
        <f>Q126</f>
        <v>0</v>
      </c>
      <c r="Q126" s="191">
        <f>'zał 15'!Q22+'zał 16'!Q22+'zał 17'!Q22</f>
        <v>0</v>
      </c>
      <c r="R126" s="190"/>
      <c r="S126" s="203"/>
    </row>
    <row r="127" spans="1:19" ht="36.75" customHeight="1">
      <c r="A127" s="188"/>
      <c r="B127" s="188"/>
      <c r="C127" s="188">
        <v>4370</v>
      </c>
      <c r="D127" s="187" t="s">
        <v>332</v>
      </c>
      <c r="E127" s="189">
        <f>F127+O127</f>
        <v>8100</v>
      </c>
      <c r="F127" s="189">
        <f>G127+K127+L127+J127+N127+M127</f>
        <v>8100</v>
      </c>
      <c r="G127" s="189">
        <f>H127+I127</f>
        <v>8100</v>
      </c>
      <c r="H127" s="191">
        <f>'zał 15'!H23+'zał 16'!H23+'zał 17'!H23</f>
        <v>0</v>
      </c>
      <c r="I127" s="191">
        <f>'zał 15'!I23+'zał 16'!I23+'zał 17'!I23</f>
        <v>8100</v>
      </c>
      <c r="J127" s="191">
        <f>'zał 15'!J23+'zał 16'!J23+'zał 17'!J23</f>
        <v>0</v>
      </c>
      <c r="K127" s="191">
        <f>'zał 15'!K23+'zał 16'!K23+'zał 17'!K23</f>
        <v>0</v>
      </c>
      <c r="L127" s="191"/>
      <c r="M127" s="191"/>
      <c r="N127" s="191"/>
      <c r="O127" s="191">
        <f>P127+R127</f>
        <v>0</v>
      </c>
      <c r="P127" s="191">
        <f>Q127</f>
        <v>0</v>
      </c>
      <c r="Q127" s="191">
        <f>'zał 15'!Q23+'zał 16'!Q23+'zał 17'!Q23</f>
        <v>0</v>
      </c>
      <c r="R127" s="191"/>
      <c r="S127" s="203"/>
    </row>
    <row r="128" spans="1:19" ht="22.5" customHeight="1">
      <c r="A128" s="188"/>
      <c r="B128" s="188"/>
      <c r="C128" s="188">
        <v>4410</v>
      </c>
      <c r="D128" s="187" t="s">
        <v>301</v>
      </c>
      <c r="E128" s="189">
        <f>F128+O128</f>
        <v>3897</v>
      </c>
      <c r="F128" s="189">
        <f>G128+K128+L128+J128+N128+M128</f>
        <v>3897</v>
      </c>
      <c r="G128" s="189">
        <f>H128+I128</f>
        <v>3897</v>
      </c>
      <c r="H128" s="191">
        <f>'zał 15'!H24+'zał 16'!H24+'zał 17'!H24</f>
        <v>0</v>
      </c>
      <c r="I128" s="191">
        <f>'zał 15'!I24+'zał 16'!I24+'zał 17'!I24</f>
        <v>3897</v>
      </c>
      <c r="J128" s="191">
        <f>'zał 15'!J24+'zał 16'!J24+'zał 17'!J24</f>
        <v>0</v>
      </c>
      <c r="K128" s="191">
        <f>'zał 15'!K24+'zał 16'!K24+'zał 17'!K24</f>
        <v>0</v>
      </c>
      <c r="L128" s="191"/>
      <c r="M128" s="191"/>
      <c r="N128" s="191"/>
      <c r="O128" s="191">
        <f>P128+R128</f>
        <v>0</v>
      </c>
      <c r="P128" s="191">
        <f>Q128</f>
        <v>0</v>
      </c>
      <c r="Q128" s="191">
        <f>'zał 15'!Q24+'zał 16'!Q24+'zał 17'!Q24</f>
        <v>0</v>
      </c>
      <c r="R128" s="191"/>
      <c r="S128" s="203"/>
    </row>
    <row r="129" spans="1:19" ht="22.5" customHeight="1">
      <c r="A129" s="188"/>
      <c r="B129" s="188"/>
      <c r="C129" s="188">
        <v>4430</v>
      </c>
      <c r="D129" s="187" t="s">
        <v>333</v>
      </c>
      <c r="E129" s="189">
        <f>F129+O129</f>
        <v>6135</v>
      </c>
      <c r="F129" s="189">
        <f>G129+K129+L129+J129+N129+M129</f>
        <v>6135</v>
      </c>
      <c r="G129" s="189">
        <f>H129+I129</f>
        <v>6135</v>
      </c>
      <c r="H129" s="191">
        <f>'zał 15'!H25+'zał 16'!H25+'zał 17'!H25</f>
        <v>0</v>
      </c>
      <c r="I129" s="191">
        <f>'zał 15'!I25+'zał 16'!I25+'zał 17'!I25</f>
        <v>6135</v>
      </c>
      <c r="J129" s="191">
        <f>'zał 15'!J25+'zał 16'!J25+'zał 17'!J25</f>
        <v>0</v>
      </c>
      <c r="K129" s="191">
        <f>'zał 15'!K25+'zał 16'!K25+'zał 17'!K25</f>
        <v>0</v>
      </c>
      <c r="L129" s="191"/>
      <c r="M129" s="191"/>
      <c r="N129" s="191"/>
      <c r="O129" s="191">
        <f>P129+R129</f>
        <v>0</v>
      </c>
      <c r="P129" s="191">
        <f>Q129</f>
        <v>0</v>
      </c>
      <c r="Q129" s="191">
        <f>'zał 15'!Q25+'zał 16'!Q25+'zał 17'!Q25</f>
        <v>0</v>
      </c>
      <c r="R129" s="191"/>
      <c r="S129" s="203"/>
    </row>
    <row r="130" spans="1:19" ht="36.75" customHeight="1">
      <c r="A130" s="188"/>
      <c r="B130" s="188"/>
      <c r="C130" s="188">
        <v>4440</v>
      </c>
      <c r="D130" s="187" t="s">
        <v>334</v>
      </c>
      <c r="E130" s="189">
        <f>F130+O130</f>
        <v>257466</v>
      </c>
      <c r="F130" s="189">
        <f>G130+K130+L130+J130+N130+M130</f>
        <v>257466</v>
      </c>
      <c r="G130" s="189">
        <f>H130+I130</f>
        <v>257466</v>
      </c>
      <c r="H130" s="191">
        <f>'zał 15'!H26+'zał 16'!H26+'zał 17'!H26</f>
        <v>0</v>
      </c>
      <c r="I130" s="191">
        <f>'zał 15'!I26+'zał 16'!I26+'zał 17'!I26</f>
        <v>257466</v>
      </c>
      <c r="J130" s="191">
        <f>'zał 15'!J26+'zał 16'!J26+'zał 17'!J26</f>
        <v>0</v>
      </c>
      <c r="K130" s="191">
        <f>'zał 15'!K26+'zał 16'!K26+'zał 17'!K26</f>
        <v>0</v>
      </c>
      <c r="L130" s="191"/>
      <c r="M130" s="191"/>
      <c r="N130" s="191"/>
      <c r="O130" s="191">
        <f>P130+R130</f>
        <v>0</v>
      </c>
      <c r="P130" s="191">
        <f>Q130</f>
        <v>0</v>
      </c>
      <c r="Q130" s="191">
        <f>'zał 15'!Q26+'zał 16'!Q26+'zał 17'!Q26</f>
        <v>0</v>
      </c>
      <c r="R130" s="191"/>
      <c r="S130" s="203"/>
    </row>
    <row r="131" spans="1:19" ht="22.5" customHeight="1">
      <c r="A131" s="204"/>
      <c r="B131" s="204"/>
      <c r="C131" s="205">
        <v>4480</v>
      </c>
      <c r="D131" s="206" t="s">
        <v>335</v>
      </c>
      <c r="E131" s="189">
        <f>F131+O131</f>
        <v>250</v>
      </c>
      <c r="F131" s="189">
        <f>G131+K131+L131+J131+N131+M131</f>
        <v>250</v>
      </c>
      <c r="G131" s="189">
        <f>H131+I131</f>
        <v>250</v>
      </c>
      <c r="H131" s="191">
        <f>'zał 15'!H27+'zał 16'!H27+'zał 17'!H27</f>
        <v>0</v>
      </c>
      <c r="I131" s="191">
        <f>'zał 15'!I27+'zał 16'!I27+'zał 17'!I27</f>
        <v>250</v>
      </c>
      <c r="J131" s="191">
        <f>'zał 15'!J27+'zał 16'!J27+'zał 17'!J27</f>
        <v>0</v>
      </c>
      <c r="K131" s="191">
        <f>'zał 15'!K27+'zał 16'!K27+'zał 17'!K27</f>
        <v>0</v>
      </c>
      <c r="L131" s="189"/>
      <c r="M131" s="189"/>
      <c r="N131" s="189"/>
      <c r="O131" s="191">
        <f>P131+R131</f>
        <v>0</v>
      </c>
      <c r="P131" s="191">
        <f>Q131</f>
        <v>0</v>
      </c>
      <c r="Q131" s="191">
        <f>'zał 15'!Q27+'zał 16'!Q27+'zał 17'!Q27</f>
        <v>0</v>
      </c>
      <c r="R131" s="189"/>
      <c r="S131" s="203"/>
    </row>
    <row r="132" spans="1:19" ht="36.75" customHeight="1">
      <c r="A132" s="188"/>
      <c r="B132" s="188"/>
      <c r="C132" s="188">
        <v>4700</v>
      </c>
      <c r="D132" s="187" t="s">
        <v>305</v>
      </c>
      <c r="E132" s="189">
        <f>F132+O132</f>
        <v>5000</v>
      </c>
      <c r="F132" s="189">
        <f>G132+K132+L132+J132+N132+M132</f>
        <v>5000</v>
      </c>
      <c r="G132" s="189">
        <f>H132+I132</f>
        <v>5000</v>
      </c>
      <c r="H132" s="191">
        <f>'zał 15'!H28+'zał 16'!H28+'zał 17'!H28</f>
        <v>0</v>
      </c>
      <c r="I132" s="191">
        <f>'zał 15'!I28+'zał 16'!I28+'zał 17'!I28</f>
        <v>5000</v>
      </c>
      <c r="J132" s="191">
        <f>'zał 15'!J28+'zał 16'!J28+'zał 17'!J28</f>
        <v>0</v>
      </c>
      <c r="K132" s="191">
        <f>'zał 15'!K28+'zał 16'!K28+'zał 17'!K28</f>
        <v>0</v>
      </c>
      <c r="L132" s="191"/>
      <c r="M132" s="191"/>
      <c r="N132" s="191"/>
      <c r="O132" s="191">
        <f>P132+R132</f>
        <v>0</v>
      </c>
      <c r="P132" s="191">
        <f>Q132</f>
        <v>0</v>
      </c>
      <c r="Q132" s="191">
        <f>'zał 15'!Q28+'zał 16'!Q28+'zał 17'!Q28</f>
        <v>0</v>
      </c>
      <c r="R132" s="191"/>
      <c r="S132" s="203"/>
    </row>
    <row r="133" spans="1:19" ht="22.5" customHeight="1">
      <c r="A133" s="188"/>
      <c r="B133" s="188"/>
      <c r="C133" s="188">
        <v>6057</v>
      </c>
      <c r="D133" s="187" t="s">
        <v>336</v>
      </c>
      <c r="E133" s="189">
        <f>F133+O133</f>
        <v>800000</v>
      </c>
      <c r="F133" s="189">
        <f>G133+K133+L133+J133+N133+M133</f>
        <v>0</v>
      </c>
      <c r="G133" s="189">
        <f>H133+I133</f>
        <v>0</v>
      </c>
      <c r="H133" s="191">
        <f>'zał 15'!H29+'zał 16'!H29+'zał 17'!H29</f>
        <v>0</v>
      </c>
      <c r="I133" s="191">
        <f>'zał 15'!I29+'zał 16'!I29+'zał 17'!I29</f>
        <v>0</v>
      </c>
      <c r="J133" s="191">
        <f>'zał 15'!J29+'zał 16'!J29+'zał 17'!J29</f>
        <v>0</v>
      </c>
      <c r="K133" s="191">
        <f>'zał 15'!K29+'zał 16'!K29+'zał 17'!K29</f>
        <v>0</v>
      </c>
      <c r="L133" s="191"/>
      <c r="M133" s="191"/>
      <c r="N133" s="191"/>
      <c r="O133" s="191">
        <f>P133+R133</f>
        <v>800000</v>
      </c>
      <c r="P133" s="191">
        <f>Q133</f>
        <v>800000</v>
      </c>
      <c r="Q133" s="191">
        <f>'zał 15'!Q29+'zał 16'!Q29+'zał 17'!Q29</f>
        <v>800000</v>
      </c>
      <c r="R133" s="207"/>
      <c r="S133" s="203"/>
    </row>
    <row r="134" spans="1:19" ht="39" customHeight="1">
      <c r="A134" s="184"/>
      <c r="B134" s="184">
        <v>80103</v>
      </c>
      <c r="C134" s="184"/>
      <c r="D134" s="196" t="s">
        <v>337</v>
      </c>
      <c r="E134" s="186">
        <f>SUM(E135:E143)</f>
        <v>283232</v>
      </c>
      <c r="F134" s="186">
        <f>SUM(F135:F143)</f>
        <v>283232</v>
      </c>
      <c r="G134" s="186">
        <f>SUM(G135:G143)</f>
        <v>279436</v>
      </c>
      <c r="H134" s="186">
        <f>SUM(H135:H143)</f>
        <v>254014</v>
      </c>
      <c r="I134" s="186">
        <f>SUM(I135:I143)</f>
        <v>25422</v>
      </c>
      <c r="J134" s="186">
        <f>SUM(J135:J143)</f>
        <v>0</v>
      </c>
      <c r="K134" s="186">
        <f>SUM(K135:K143)</f>
        <v>3796</v>
      </c>
      <c r="L134" s="186">
        <f>SUM(L135:L143)</f>
        <v>0</v>
      </c>
      <c r="M134" s="186">
        <f>SUM(M135:M143)</f>
        <v>0</v>
      </c>
      <c r="N134" s="186">
        <f>SUM(N135:N143)</f>
        <v>0</v>
      </c>
      <c r="O134" s="186">
        <f>SUM(O135:O143)</f>
        <v>0</v>
      </c>
      <c r="P134" s="186">
        <f>SUM(P135:P143)</f>
        <v>0</v>
      </c>
      <c r="Q134" s="186">
        <f>SUM(Q135:Q143)</f>
        <v>0</v>
      </c>
      <c r="R134" s="186">
        <f>SUM(R135:R143)</f>
        <v>0</v>
      </c>
      <c r="S134" s="203"/>
    </row>
    <row r="135" spans="1:19" ht="22.5" customHeight="1">
      <c r="A135" s="188"/>
      <c r="B135" s="188"/>
      <c r="C135" s="188">
        <v>3020</v>
      </c>
      <c r="D135" s="187" t="s">
        <v>326</v>
      </c>
      <c r="E135" s="189">
        <f>F135+O135</f>
        <v>3796</v>
      </c>
      <c r="F135" s="189">
        <f>G135+K135+L135+J135+N135+M135</f>
        <v>3796</v>
      </c>
      <c r="G135" s="189">
        <f>H135+I135</f>
        <v>0</v>
      </c>
      <c r="H135" s="191">
        <f>'zał 15'!H31+'zał 16'!H31+'zał 17'!H31</f>
        <v>0</v>
      </c>
      <c r="I135" s="191">
        <f>'zał 15'!I31+'zał 16'!I31+'zał 17'!I31</f>
        <v>0</v>
      </c>
      <c r="J135" s="191">
        <f>'zał 15'!J31+'zał 16'!J31+'zał 17'!J31</f>
        <v>0</v>
      </c>
      <c r="K135" s="191">
        <f>'zał 15'!K31+'zał 16'!K31+'zał 17'!K31</f>
        <v>3796</v>
      </c>
      <c r="L135" s="191"/>
      <c r="M135" s="191"/>
      <c r="N135" s="191"/>
      <c r="O135" s="191"/>
      <c r="P135" s="191"/>
      <c r="Q135" s="191"/>
      <c r="R135" s="191"/>
      <c r="S135" s="203"/>
    </row>
    <row r="136" spans="1:19" ht="22.5" customHeight="1">
      <c r="A136" s="188"/>
      <c r="B136" s="188"/>
      <c r="C136" s="188">
        <v>4010</v>
      </c>
      <c r="D136" s="187" t="s">
        <v>338</v>
      </c>
      <c r="E136" s="189">
        <f>F136+O136</f>
        <v>194635</v>
      </c>
      <c r="F136" s="189">
        <f>G136+K136+L136+J136+N136+M136</f>
        <v>194635</v>
      </c>
      <c r="G136" s="189">
        <f>H136+I136</f>
        <v>194635</v>
      </c>
      <c r="H136" s="191">
        <f>'zał 15'!H32+'zał 16'!H32+'zał 17'!H32</f>
        <v>194635</v>
      </c>
      <c r="I136" s="191">
        <f>'zał 15'!I32+'zał 16'!I32+'zał 17'!I32</f>
        <v>0</v>
      </c>
      <c r="J136" s="191"/>
      <c r="K136" s="191"/>
      <c r="L136" s="191"/>
      <c r="M136" s="191"/>
      <c r="N136" s="191"/>
      <c r="O136" s="191"/>
      <c r="P136" s="191"/>
      <c r="Q136" s="191"/>
      <c r="R136" s="191"/>
      <c r="S136" s="203"/>
    </row>
    <row r="137" spans="1:19" ht="22.5" customHeight="1">
      <c r="A137" s="188"/>
      <c r="B137" s="188"/>
      <c r="C137" s="188">
        <v>4040</v>
      </c>
      <c r="D137" s="187" t="s">
        <v>288</v>
      </c>
      <c r="E137" s="189">
        <f>F137+O137</f>
        <v>18195</v>
      </c>
      <c r="F137" s="189">
        <f>G137+K137+L137+J137+N137+M137</f>
        <v>18195</v>
      </c>
      <c r="G137" s="189">
        <f>H137+I137</f>
        <v>18195</v>
      </c>
      <c r="H137" s="191">
        <f>'zał 15'!H33+'zał 16'!H33+'zał 17'!H33</f>
        <v>18195</v>
      </c>
      <c r="I137" s="191">
        <f>'zał 15'!I33+'zał 16'!I33+'zał 17'!I33</f>
        <v>0</v>
      </c>
      <c r="J137" s="191"/>
      <c r="K137" s="191"/>
      <c r="L137" s="191"/>
      <c r="M137" s="191"/>
      <c r="N137" s="191"/>
      <c r="O137" s="191"/>
      <c r="P137" s="191"/>
      <c r="Q137" s="191"/>
      <c r="R137" s="191"/>
      <c r="S137" s="203"/>
    </row>
    <row r="138" spans="1:19" ht="22.5" customHeight="1">
      <c r="A138" s="188"/>
      <c r="B138" s="188"/>
      <c r="C138" s="188">
        <v>4110</v>
      </c>
      <c r="D138" s="187" t="s">
        <v>289</v>
      </c>
      <c r="E138" s="189">
        <f>F138+O138</f>
        <v>35384</v>
      </c>
      <c r="F138" s="189">
        <f>G138+K138+L138+J138+N138+M138</f>
        <v>35384</v>
      </c>
      <c r="G138" s="189">
        <f>H138+I138</f>
        <v>35384</v>
      </c>
      <c r="H138" s="191">
        <f>'zał 15'!H34+'zał 16'!H34+'zał 17'!H34</f>
        <v>35384</v>
      </c>
      <c r="I138" s="191">
        <f>'zał 15'!I34+'zał 16'!I34+'zał 17'!I34</f>
        <v>0</v>
      </c>
      <c r="J138" s="191"/>
      <c r="K138" s="191"/>
      <c r="L138" s="191"/>
      <c r="M138" s="191"/>
      <c r="N138" s="191"/>
      <c r="O138" s="191"/>
      <c r="P138" s="191"/>
      <c r="Q138" s="191"/>
      <c r="R138" s="191"/>
      <c r="S138" s="203"/>
    </row>
    <row r="139" spans="1:19" ht="22.5" customHeight="1">
      <c r="A139" s="188"/>
      <c r="B139" s="188"/>
      <c r="C139" s="188">
        <v>4120</v>
      </c>
      <c r="D139" s="187" t="s">
        <v>290</v>
      </c>
      <c r="E139" s="189">
        <f>F139+O139</f>
        <v>5800</v>
      </c>
      <c r="F139" s="189">
        <f>G139+K139+L139+J139+N139+M139</f>
        <v>5800</v>
      </c>
      <c r="G139" s="189">
        <f>H139+I139</f>
        <v>5800</v>
      </c>
      <c r="H139" s="191">
        <f>'zał 15'!H35+'zał 16'!H35+'zał 17'!H35</f>
        <v>5800</v>
      </c>
      <c r="I139" s="191">
        <f>'zał 15'!I35+'zał 16'!I35+'zał 17'!I35</f>
        <v>0</v>
      </c>
      <c r="J139" s="191"/>
      <c r="K139" s="191"/>
      <c r="L139" s="191"/>
      <c r="M139" s="191"/>
      <c r="N139" s="191"/>
      <c r="O139" s="191"/>
      <c r="P139" s="191"/>
      <c r="Q139" s="191"/>
      <c r="R139" s="191"/>
      <c r="S139" s="203"/>
    </row>
    <row r="140" spans="1:19" ht="22.5" customHeight="1">
      <c r="A140" s="204"/>
      <c r="B140" s="204"/>
      <c r="C140" s="205">
        <v>4210</v>
      </c>
      <c r="D140" s="206" t="s">
        <v>339</v>
      </c>
      <c r="E140" s="189">
        <f>F140+O140</f>
        <v>5550</v>
      </c>
      <c r="F140" s="189">
        <f>G140+K140+L140+J140+N140+M140</f>
        <v>5550</v>
      </c>
      <c r="G140" s="189">
        <f>H140+I140</f>
        <v>5550</v>
      </c>
      <c r="H140" s="191">
        <f>'zał 15'!H36+'zał 16'!H36+'zał 17'!H36</f>
        <v>0</v>
      </c>
      <c r="I140" s="191">
        <f>'zał 15'!I36+'zał 16'!I36+'zał 17'!I36</f>
        <v>5550</v>
      </c>
      <c r="J140" s="189"/>
      <c r="K140" s="189"/>
      <c r="L140" s="189"/>
      <c r="M140" s="189"/>
      <c r="N140" s="189"/>
      <c r="O140" s="189"/>
      <c r="P140" s="189"/>
      <c r="Q140" s="189"/>
      <c r="R140" s="189"/>
      <c r="S140" s="203"/>
    </row>
    <row r="141" spans="1:19" ht="22.5" customHeight="1">
      <c r="A141" s="204"/>
      <c r="B141" s="204"/>
      <c r="C141" s="205">
        <v>4240</v>
      </c>
      <c r="D141" s="206" t="s">
        <v>340</v>
      </c>
      <c r="E141" s="189">
        <f>F141+O141</f>
        <v>5650</v>
      </c>
      <c r="F141" s="189">
        <f>G141+K141+L141+J141+N141+M141</f>
        <v>5650</v>
      </c>
      <c r="G141" s="189">
        <f>H141+I141</f>
        <v>5650</v>
      </c>
      <c r="H141" s="191">
        <f>'zał 15'!H37+'zał 16'!H37+'zał 17'!H37</f>
        <v>0</v>
      </c>
      <c r="I141" s="191">
        <f>'zał 15'!I37+'zał 16'!I37+'zał 17'!I37</f>
        <v>5650</v>
      </c>
      <c r="J141" s="189"/>
      <c r="K141" s="189"/>
      <c r="L141" s="189"/>
      <c r="M141" s="189"/>
      <c r="N141" s="189"/>
      <c r="O141" s="189"/>
      <c r="P141" s="189"/>
      <c r="Q141" s="189"/>
      <c r="R141" s="189"/>
      <c r="S141" s="203"/>
    </row>
    <row r="142" spans="1:19" ht="22.5" customHeight="1">
      <c r="A142" s="204"/>
      <c r="B142" s="204"/>
      <c r="C142" s="205">
        <v>4280</v>
      </c>
      <c r="D142" s="206" t="s">
        <v>341</v>
      </c>
      <c r="E142" s="189">
        <f>F142+O142</f>
        <v>400</v>
      </c>
      <c r="F142" s="189">
        <f>G142+K142+L142+J142+N142+M142</f>
        <v>400</v>
      </c>
      <c r="G142" s="189">
        <f>H142+I142</f>
        <v>400</v>
      </c>
      <c r="H142" s="191">
        <f>'zał 15'!H38+'zał 16'!H38+'zał 17'!H38</f>
        <v>0</v>
      </c>
      <c r="I142" s="191">
        <f>'zał 15'!I38+'zał 16'!I38+'zał 17'!I38</f>
        <v>400</v>
      </c>
      <c r="J142" s="189"/>
      <c r="K142" s="189"/>
      <c r="L142" s="189"/>
      <c r="M142" s="189"/>
      <c r="N142" s="189"/>
      <c r="O142" s="189"/>
      <c r="P142" s="189"/>
      <c r="Q142" s="189"/>
      <c r="R142" s="189"/>
      <c r="S142" s="203"/>
    </row>
    <row r="143" spans="1:19" ht="36.75" customHeight="1">
      <c r="A143" s="204"/>
      <c r="B143" s="204"/>
      <c r="C143" s="205">
        <v>4440</v>
      </c>
      <c r="D143" s="206" t="s">
        <v>342</v>
      </c>
      <c r="E143" s="189">
        <f>F143+O143</f>
        <v>13822</v>
      </c>
      <c r="F143" s="189">
        <f>G143+K143+L143+J143+N143+M143</f>
        <v>13822</v>
      </c>
      <c r="G143" s="189">
        <f>H143+I143</f>
        <v>13822</v>
      </c>
      <c r="H143" s="191">
        <f>'zał 15'!H39+'zał 16'!H39+'zał 17'!H39</f>
        <v>0</v>
      </c>
      <c r="I143" s="191">
        <f>'zał 15'!I39+'zał 16'!I39+'zał 17'!I39</f>
        <v>13822</v>
      </c>
      <c r="J143" s="189"/>
      <c r="K143" s="189"/>
      <c r="L143" s="189"/>
      <c r="M143" s="189"/>
      <c r="N143" s="189"/>
      <c r="O143" s="189"/>
      <c r="P143" s="189"/>
      <c r="Q143" s="189"/>
      <c r="R143" s="189"/>
      <c r="S143" s="203"/>
    </row>
    <row r="144" spans="1:18" ht="22.5" customHeight="1">
      <c r="A144" s="184"/>
      <c r="B144" s="184">
        <v>80104</v>
      </c>
      <c r="C144" s="184"/>
      <c r="D144" s="196" t="s">
        <v>343</v>
      </c>
      <c r="E144" s="186">
        <f>SUM(E145:E162)</f>
        <v>4798572</v>
      </c>
      <c r="F144" s="186">
        <f>SUM(F145:F162)</f>
        <v>4798572</v>
      </c>
      <c r="G144" s="186">
        <f>SUM(G145:G162)</f>
        <v>3130775</v>
      </c>
      <c r="H144" s="186">
        <f>SUM(H145:H162)</f>
        <v>2564810</v>
      </c>
      <c r="I144" s="186">
        <f>SUM(I145:I162)</f>
        <v>565965</v>
      </c>
      <c r="J144" s="186">
        <f>SUM(J145:J162)</f>
        <v>1657776</v>
      </c>
      <c r="K144" s="186">
        <f>SUM(K145:K162)</f>
        <v>10021</v>
      </c>
      <c r="L144" s="186">
        <f>SUM(L145:L162)</f>
        <v>0</v>
      </c>
      <c r="M144" s="186">
        <f>SUM(M145:M162)</f>
        <v>0</v>
      </c>
      <c r="N144" s="186">
        <f>SUM(N145:N162)</f>
        <v>0</v>
      </c>
      <c r="O144" s="186">
        <f>SUM(O145:O162)</f>
        <v>0</v>
      </c>
      <c r="P144" s="186">
        <f>SUM(P145:P162)</f>
        <v>0</v>
      </c>
      <c r="Q144" s="186">
        <f>SUM(Q145:Q162)</f>
        <v>0</v>
      </c>
      <c r="R144" s="186">
        <f>SUM(R145:R162)</f>
        <v>0</v>
      </c>
    </row>
    <row r="145" spans="1:19" ht="36.75" customHeight="1">
      <c r="A145" s="188"/>
      <c r="B145" s="188"/>
      <c r="C145" s="188">
        <v>2540</v>
      </c>
      <c r="D145" s="187" t="s">
        <v>344</v>
      </c>
      <c r="E145" s="189">
        <f>F145+O145</f>
        <v>1657776</v>
      </c>
      <c r="F145" s="189">
        <f>G145+K145+L145+J145+N145+M145</f>
        <v>1657776</v>
      </c>
      <c r="G145" s="189">
        <f>H145+I145</f>
        <v>0</v>
      </c>
      <c r="H145" s="191"/>
      <c r="I145" s="191"/>
      <c r="J145" s="191">
        <f>'zał 24'!E6</f>
        <v>1657776</v>
      </c>
      <c r="K145" s="191"/>
      <c r="L145" s="191"/>
      <c r="M145" s="207"/>
      <c r="N145" s="191"/>
      <c r="O145" s="191"/>
      <c r="P145" s="191"/>
      <c r="Q145" s="208"/>
      <c r="R145" s="191"/>
      <c r="S145"/>
    </row>
    <row r="146" spans="1:18" ht="22.5" customHeight="1">
      <c r="A146" s="184"/>
      <c r="B146" s="184"/>
      <c r="C146" s="188">
        <v>3020</v>
      </c>
      <c r="D146" s="187" t="s">
        <v>345</v>
      </c>
      <c r="E146" s="189">
        <f>F146+O146</f>
        <v>10021</v>
      </c>
      <c r="F146" s="189">
        <f>G146+K146+L146+J146+N146+M146</f>
        <v>10021</v>
      </c>
      <c r="G146" s="189">
        <f>H146+I146</f>
        <v>0</v>
      </c>
      <c r="H146" s="191">
        <f>'zał 18'!H9+'zał 19'!H9</f>
        <v>0</v>
      </c>
      <c r="I146" s="191">
        <f>'zał 18'!I9+'zał 19'!I9</f>
        <v>0</v>
      </c>
      <c r="J146" s="191">
        <f>'zał 18'!J9+'zał 19'!J9</f>
        <v>0</v>
      </c>
      <c r="K146" s="191">
        <f>'zał 18'!K9+'zał 19'!K9</f>
        <v>10021</v>
      </c>
      <c r="L146" s="191"/>
      <c r="M146" s="191"/>
      <c r="N146" s="191"/>
      <c r="O146" s="191"/>
      <c r="P146" s="191"/>
      <c r="Q146" s="191"/>
      <c r="R146" s="191"/>
    </row>
    <row r="147" spans="1:18" ht="22.5" customHeight="1">
      <c r="A147" s="188"/>
      <c r="B147" s="188"/>
      <c r="C147" s="188">
        <v>4010</v>
      </c>
      <c r="D147" s="187" t="s">
        <v>328</v>
      </c>
      <c r="E147" s="189">
        <f>F147+O147</f>
        <v>1977960</v>
      </c>
      <c r="F147" s="189">
        <f>G147+K147+L147+J147+N147+M147</f>
        <v>1977960</v>
      </c>
      <c r="G147" s="189">
        <f>H147+I147</f>
        <v>1977960</v>
      </c>
      <c r="H147" s="191">
        <f>'zał 18'!H10+'zał 19'!H10</f>
        <v>1977960</v>
      </c>
      <c r="I147" s="191">
        <f>'zał 18'!I10+'zał 19'!I10</f>
        <v>0</v>
      </c>
      <c r="J147" s="191"/>
      <c r="K147" s="191"/>
      <c r="L147" s="191"/>
      <c r="M147" s="191"/>
      <c r="N147" s="191"/>
      <c r="O147" s="191"/>
      <c r="P147" s="191"/>
      <c r="Q147" s="191"/>
      <c r="R147" s="191"/>
    </row>
    <row r="148" spans="1:18" ht="22.5" customHeight="1">
      <c r="A148" s="188"/>
      <c r="B148" s="188"/>
      <c r="C148" s="188">
        <v>4040</v>
      </c>
      <c r="D148" s="187" t="s">
        <v>346</v>
      </c>
      <c r="E148" s="189">
        <f>F148+O148</f>
        <v>189180</v>
      </c>
      <c r="F148" s="189">
        <f>G148+K148+L148+J148+N148+M148</f>
        <v>189180</v>
      </c>
      <c r="G148" s="189">
        <f>H148+I148</f>
        <v>189180</v>
      </c>
      <c r="H148" s="191">
        <f>'zał 18'!H11+'zał 19'!H11</f>
        <v>189180</v>
      </c>
      <c r="I148" s="191">
        <f>'zał 18'!I11+'zał 19'!I11</f>
        <v>0</v>
      </c>
      <c r="J148" s="191"/>
      <c r="K148" s="191"/>
      <c r="L148" s="191"/>
      <c r="M148" s="191"/>
      <c r="N148" s="191"/>
      <c r="O148" s="191"/>
      <c r="P148" s="191"/>
      <c r="Q148" s="191"/>
      <c r="R148" s="191"/>
    </row>
    <row r="149" spans="1:18" ht="22.5" customHeight="1">
      <c r="A149" s="188"/>
      <c r="B149" s="188"/>
      <c r="C149" s="188">
        <v>4110</v>
      </c>
      <c r="D149" s="187" t="s">
        <v>347</v>
      </c>
      <c r="E149" s="189">
        <f>F149+O149</f>
        <v>344575</v>
      </c>
      <c r="F149" s="189">
        <f>G149+K149+L149+J149+N149+M149</f>
        <v>344575</v>
      </c>
      <c r="G149" s="189">
        <f>H149+I149</f>
        <v>344575</v>
      </c>
      <c r="H149" s="191">
        <f>'zał 18'!H12+'zał 19'!H12</f>
        <v>344575</v>
      </c>
      <c r="I149" s="191">
        <f>'zał 18'!I12+'zał 19'!I12</f>
        <v>0</v>
      </c>
      <c r="J149" s="191"/>
      <c r="K149" s="191"/>
      <c r="L149" s="191"/>
      <c r="M149" s="191"/>
      <c r="N149" s="191"/>
      <c r="O149" s="191"/>
      <c r="P149" s="191"/>
      <c r="Q149" s="191"/>
      <c r="R149" s="191"/>
    </row>
    <row r="150" spans="1:18" ht="22.5" customHeight="1">
      <c r="A150" s="188"/>
      <c r="B150" s="188"/>
      <c r="C150" s="188">
        <v>4120</v>
      </c>
      <c r="D150" s="187" t="s">
        <v>348</v>
      </c>
      <c r="E150" s="189">
        <f>F150+O150</f>
        <v>53095</v>
      </c>
      <c r="F150" s="189">
        <f>G150+K150+L150+J150+N150+M150</f>
        <v>53095</v>
      </c>
      <c r="G150" s="189">
        <f>H150+I150</f>
        <v>53095</v>
      </c>
      <c r="H150" s="191">
        <f>'zał 18'!H13+'zał 19'!H13</f>
        <v>53095</v>
      </c>
      <c r="I150" s="191">
        <f>'zał 18'!I13+'zał 19'!I13</f>
        <v>0</v>
      </c>
      <c r="J150" s="191"/>
      <c r="K150" s="191"/>
      <c r="L150" s="191"/>
      <c r="M150" s="191"/>
      <c r="N150" s="191"/>
      <c r="O150" s="191"/>
      <c r="P150" s="191"/>
      <c r="Q150" s="191"/>
      <c r="R150" s="191"/>
    </row>
    <row r="151" spans="1:18" ht="22.5" customHeight="1">
      <c r="A151" s="188"/>
      <c r="B151" s="188"/>
      <c r="C151" s="188">
        <v>4210</v>
      </c>
      <c r="D151" s="187" t="s">
        <v>339</v>
      </c>
      <c r="E151" s="189">
        <f>F151+O151</f>
        <v>45600</v>
      </c>
      <c r="F151" s="189">
        <f>G151+K151+L151+J151+N151+M151</f>
        <v>45600</v>
      </c>
      <c r="G151" s="189">
        <f>H151+I151</f>
        <v>45600</v>
      </c>
      <c r="H151" s="191">
        <f>'zał 18'!H14+'zał 19'!H14</f>
        <v>0</v>
      </c>
      <c r="I151" s="191">
        <f>'zał 18'!I14+'zał 19'!I14</f>
        <v>45600</v>
      </c>
      <c r="J151" s="191"/>
      <c r="K151" s="191"/>
      <c r="L151" s="191"/>
      <c r="M151" s="191"/>
      <c r="N151" s="191"/>
      <c r="O151" s="191"/>
      <c r="P151" s="191"/>
      <c r="Q151" s="191"/>
      <c r="R151" s="191"/>
    </row>
    <row r="152" spans="1:18" ht="22.5" customHeight="1">
      <c r="A152" s="188"/>
      <c r="B152" s="188"/>
      <c r="C152" s="188">
        <v>4240</v>
      </c>
      <c r="D152" s="187" t="s">
        <v>340</v>
      </c>
      <c r="E152" s="189">
        <f>F152+O152</f>
        <v>6600</v>
      </c>
      <c r="F152" s="189">
        <f>G152+K152+L152+J152+N152+M152</f>
        <v>6600</v>
      </c>
      <c r="G152" s="189">
        <f>H152+I152</f>
        <v>6600</v>
      </c>
      <c r="H152" s="191">
        <f>'zał 18'!H15+'zał 19'!H15</f>
        <v>0</v>
      </c>
      <c r="I152" s="191">
        <f>'zał 18'!I15+'zał 19'!I15</f>
        <v>6600</v>
      </c>
      <c r="J152" s="191"/>
      <c r="K152" s="191"/>
      <c r="L152" s="191"/>
      <c r="M152" s="191"/>
      <c r="N152" s="191"/>
      <c r="O152" s="191"/>
      <c r="P152" s="191"/>
      <c r="Q152" s="191"/>
      <c r="R152" s="191"/>
    </row>
    <row r="153" spans="1:18" ht="22.5" customHeight="1">
      <c r="A153" s="188"/>
      <c r="B153" s="188"/>
      <c r="C153" s="188">
        <v>4260</v>
      </c>
      <c r="D153" s="187" t="s">
        <v>349</v>
      </c>
      <c r="E153" s="189">
        <f>F153+O153</f>
        <v>318067</v>
      </c>
      <c r="F153" s="189">
        <f>G153+K153+L153+J153+N153+M153</f>
        <v>318067</v>
      </c>
      <c r="G153" s="189">
        <f>H153+I153</f>
        <v>318067</v>
      </c>
      <c r="H153" s="191">
        <f>'zał 18'!H16+'zał 19'!H16</f>
        <v>0</v>
      </c>
      <c r="I153" s="191">
        <f>'zał 18'!I16+'zał 19'!I16</f>
        <v>318067</v>
      </c>
      <c r="J153" s="191"/>
      <c r="K153" s="191"/>
      <c r="L153" s="191"/>
      <c r="M153" s="191"/>
      <c r="N153" s="191"/>
      <c r="O153" s="191"/>
      <c r="P153" s="191"/>
      <c r="Q153" s="191"/>
      <c r="R153" s="191"/>
    </row>
    <row r="154" spans="1:18" ht="22.5" customHeight="1">
      <c r="A154" s="188"/>
      <c r="B154" s="188"/>
      <c r="C154" s="188">
        <v>4270</v>
      </c>
      <c r="D154" s="187" t="s">
        <v>294</v>
      </c>
      <c r="E154" s="189">
        <f>F154+O154</f>
        <v>16000</v>
      </c>
      <c r="F154" s="189">
        <f>G154+K154+L154+J154+N154+M154</f>
        <v>16000</v>
      </c>
      <c r="G154" s="189">
        <f>H154+I154</f>
        <v>16000</v>
      </c>
      <c r="H154" s="191">
        <f>'zał 18'!H17+'zał 19'!H17</f>
        <v>0</v>
      </c>
      <c r="I154" s="191">
        <f>'zał 18'!I17+'zał 19'!I17</f>
        <v>16000</v>
      </c>
      <c r="J154" s="191"/>
      <c r="K154" s="191"/>
      <c r="L154" s="191"/>
      <c r="M154" s="191"/>
      <c r="N154" s="191"/>
      <c r="O154" s="191"/>
      <c r="P154" s="191"/>
      <c r="Q154" s="191"/>
      <c r="R154" s="191"/>
    </row>
    <row r="155" spans="1:18" ht="22.5" customHeight="1">
      <c r="A155" s="188"/>
      <c r="B155" s="188"/>
      <c r="C155" s="188">
        <v>4280</v>
      </c>
      <c r="D155" s="187" t="s">
        <v>341</v>
      </c>
      <c r="E155" s="189">
        <f>F155+O155</f>
        <v>1700</v>
      </c>
      <c r="F155" s="189">
        <f>G155+K155+L155+J155+N155+M155</f>
        <v>1700</v>
      </c>
      <c r="G155" s="189">
        <f>H155+I155</f>
        <v>1700</v>
      </c>
      <c r="H155" s="191">
        <f>'zał 18'!H18+'zał 19'!H18</f>
        <v>0</v>
      </c>
      <c r="I155" s="191">
        <f>'zał 18'!I18+'zał 19'!I18</f>
        <v>1700</v>
      </c>
      <c r="J155" s="191"/>
      <c r="K155" s="191"/>
      <c r="L155" s="191"/>
      <c r="M155" s="191"/>
      <c r="N155" s="191"/>
      <c r="O155" s="191"/>
      <c r="P155" s="191"/>
      <c r="Q155" s="191"/>
      <c r="R155" s="191"/>
    </row>
    <row r="156" spans="1:18" ht="22.5" customHeight="1">
      <c r="A156" s="188"/>
      <c r="B156" s="188"/>
      <c r="C156" s="188">
        <v>4300</v>
      </c>
      <c r="D156" s="187" t="s">
        <v>350</v>
      </c>
      <c r="E156" s="189">
        <f>F156+O156</f>
        <v>38244</v>
      </c>
      <c r="F156" s="189">
        <f>G156+K156+L156+J156+N156+M156</f>
        <v>38244</v>
      </c>
      <c r="G156" s="189">
        <f>H156+I156</f>
        <v>38244</v>
      </c>
      <c r="H156" s="191">
        <f>'zał 18'!H19+'zał 19'!H19</f>
        <v>0</v>
      </c>
      <c r="I156" s="191">
        <f>'zał 18'!I19+'zał 19'!I19</f>
        <v>38244</v>
      </c>
      <c r="J156" s="191"/>
      <c r="K156" s="191"/>
      <c r="L156" s="191"/>
      <c r="M156" s="191"/>
      <c r="N156" s="191"/>
      <c r="O156" s="191"/>
      <c r="P156" s="191"/>
      <c r="Q156" s="191"/>
      <c r="R156" s="191"/>
    </row>
    <row r="157" spans="1:18" ht="22.5" customHeight="1">
      <c r="A157" s="188"/>
      <c r="B157" s="188"/>
      <c r="C157" s="188">
        <v>4350</v>
      </c>
      <c r="D157" s="187" t="s">
        <v>351</v>
      </c>
      <c r="E157" s="189">
        <f>F157+O157</f>
        <v>2510</v>
      </c>
      <c r="F157" s="189">
        <f>G157+K157+L157+J157+N157+M157</f>
        <v>2510</v>
      </c>
      <c r="G157" s="189">
        <f>H157+I157</f>
        <v>2510</v>
      </c>
      <c r="H157" s="191">
        <f>'zał 18'!H20+'zał 19'!H20</f>
        <v>0</v>
      </c>
      <c r="I157" s="191">
        <f>'zał 18'!I20+'zał 19'!I20</f>
        <v>2510</v>
      </c>
      <c r="J157" s="191"/>
      <c r="K157" s="191"/>
      <c r="L157" s="191"/>
      <c r="M157" s="191"/>
      <c r="N157" s="191"/>
      <c r="O157" s="191"/>
      <c r="P157" s="191"/>
      <c r="Q157" s="191"/>
      <c r="R157" s="191"/>
    </row>
    <row r="158" spans="1:18" ht="36.75" customHeight="1">
      <c r="A158" s="188"/>
      <c r="B158" s="188"/>
      <c r="C158" s="188">
        <v>4370</v>
      </c>
      <c r="D158" s="187" t="s">
        <v>352</v>
      </c>
      <c r="E158" s="189">
        <f>F158+O158</f>
        <v>5400</v>
      </c>
      <c r="F158" s="189">
        <f>G158+K158+L158+J158+N158+M158</f>
        <v>5400</v>
      </c>
      <c r="G158" s="189">
        <f>H158+I158</f>
        <v>5400</v>
      </c>
      <c r="H158" s="191">
        <f>'zał 18'!H21+'zał 19'!H21</f>
        <v>0</v>
      </c>
      <c r="I158" s="191">
        <f>'zał 18'!I21+'zał 19'!I21</f>
        <v>5400</v>
      </c>
      <c r="J158" s="191"/>
      <c r="K158" s="191"/>
      <c r="L158" s="191"/>
      <c r="M158" s="191"/>
      <c r="N158" s="191"/>
      <c r="O158" s="191"/>
      <c r="P158" s="191"/>
      <c r="Q158" s="191"/>
      <c r="R158" s="191"/>
    </row>
    <row r="159" spans="1:18" ht="22.5" customHeight="1">
      <c r="A159" s="188"/>
      <c r="B159" s="188"/>
      <c r="C159" s="188">
        <v>4410</v>
      </c>
      <c r="D159" s="187" t="s">
        <v>353</v>
      </c>
      <c r="E159" s="189">
        <f>F159+O159</f>
        <v>1200</v>
      </c>
      <c r="F159" s="189">
        <f>G159+K159+L159+J159+N159+M159</f>
        <v>1200</v>
      </c>
      <c r="G159" s="189">
        <f>H159+I159</f>
        <v>1200</v>
      </c>
      <c r="H159" s="191">
        <f>'zał 18'!H22+'zał 19'!H22</f>
        <v>0</v>
      </c>
      <c r="I159" s="191">
        <f>'zał 18'!I22+'zał 19'!I22</f>
        <v>1200</v>
      </c>
      <c r="J159" s="191"/>
      <c r="K159" s="191"/>
      <c r="L159" s="191"/>
      <c r="M159" s="191"/>
      <c r="N159" s="191"/>
      <c r="O159" s="191"/>
      <c r="P159" s="191"/>
      <c r="Q159" s="191"/>
      <c r="R159" s="191"/>
    </row>
    <row r="160" spans="1:18" ht="22.5" customHeight="1">
      <c r="A160" s="188"/>
      <c r="B160" s="188"/>
      <c r="C160" s="188">
        <v>4430</v>
      </c>
      <c r="D160" s="187" t="s">
        <v>354</v>
      </c>
      <c r="E160" s="189">
        <f>F160+O160</f>
        <v>2236</v>
      </c>
      <c r="F160" s="189">
        <f>G160+K160+L160+J160+N160+M160</f>
        <v>2236</v>
      </c>
      <c r="G160" s="189">
        <f>H160+I160</f>
        <v>2236</v>
      </c>
      <c r="H160" s="191">
        <f>'zał 18'!H23+'zał 19'!H23</f>
        <v>0</v>
      </c>
      <c r="I160" s="191">
        <f>'zał 18'!I23+'zał 19'!I23</f>
        <v>2236</v>
      </c>
      <c r="J160" s="191"/>
      <c r="K160" s="191"/>
      <c r="L160" s="191"/>
      <c r="M160" s="191"/>
      <c r="N160" s="191"/>
      <c r="O160" s="191"/>
      <c r="P160" s="191"/>
      <c r="Q160" s="191"/>
      <c r="R160" s="191"/>
    </row>
    <row r="161" spans="1:18" ht="22.5" customHeight="1">
      <c r="A161" s="188"/>
      <c r="B161" s="188"/>
      <c r="C161" s="188">
        <v>4440</v>
      </c>
      <c r="D161" s="187" t="s">
        <v>303</v>
      </c>
      <c r="E161" s="189">
        <f>F161+O161</f>
        <v>125708</v>
      </c>
      <c r="F161" s="189">
        <f>G161+K161+L161+J161+N161+M161</f>
        <v>125708</v>
      </c>
      <c r="G161" s="189">
        <f>H161+I161</f>
        <v>125708</v>
      </c>
      <c r="H161" s="191">
        <f>'zał 18'!H24+'zał 19'!H24</f>
        <v>0</v>
      </c>
      <c r="I161" s="191">
        <f>'zał 18'!I24+'zał 19'!I24</f>
        <v>125708</v>
      </c>
      <c r="J161" s="191"/>
      <c r="K161" s="191"/>
      <c r="L161" s="191"/>
      <c r="M161" s="191"/>
      <c r="N161" s="191"/>
      <c r="O161" s="191"/>
      <c r="P161" s="191"/>
      <c r="Q161" s="191"/>
      <c r="R161" s="191"/>
    </row>
    <row r="162" spans="1:18" ht="36.75" customHeight="1">
      <c r="A162" s="188"/>
      <c r="B162" s="188"/>
      <c r="C162" s="188">
        <v>4700</v>
      </c>
      <c r="D162" s="209" t="s">
        <v>355</v>
      </c>
      <c r="E162" s="189">
        <f>F162+O162</f>
        <v>2700</v>
      </c>
      <c r="F162" s="189">
        <f>G162+K162+L162+J162+N162+M162</f>
        <v>2700</v>
      </c>
      <c r="G162" s="189">
        <f>H162+I162</f>
        <v>2700</v>
      </c>
      <c r="H162" s="191">
        <f>'zał 18'!H25+'zał 19'!H25</f>
        <v>0</v>
      </c>
      <c r="I162" s="191">
        <f>'zał 18'!I25+'zał 19'!I25</f>
        <v>2700</v>
      </c>
      <c r="J162" s="191"/>
      <c r="K162" s="191"/>
      <c r="L162" s="191"/>
      <c r="M162" s="191"/>
      <c r="N162" s="191"/>
      <c r="O162" s="191"/>
      <c r="P162" s="191"/>
      <c r="Q162" s="191"/>
      <c r="R162" s="191"/>
    </row>
    <row r="163" spans="1:18" ht="22.5" customHeight="1">
      <c r="A163" s="184"/>
      <c r="B163" s="184">
        <v>80110</v>
      </c>
      <c r="C163" s="184"/>
      <c r="D163" s="196" t="s">
        <v>190</v>
      </c>
      <c r="E163" s="186">
        <f>SUM(E164:E182)</f>
        <v>5536559</v>
      </c>
      <c r="F163" s="186">
        <f>SUM(F164:F182)</f>
        <v>5536559</v>
      </c>
      <c r="G163" s="186">
        <f>SUM(G164:G182)</f>
        <v>5517136</v>
      </c>
      <c r="H163" s="186">
        <f>SUM(H164:H182)</f>
        <v>4508519</v>
      </c>
      <c r="I163" s="186">
        <f>SUM(I164:I182)</f>
        <v>1008617</v>
      </c>
      <c r="J163" s="186">
        <f>SUM(J164:J182)</f>
        <v>0</v>
      </c>
      <c r="K163" s="186">
        <f>SUM(K164:K182)</f>
        <v>19423</v>
      </c>
      <c r="L163" s="186">
        <f>SUM(L164:L182)</f>
        <v>0</v>
      </c>
      <c r="M163" s="186">
        <f>SUM(M164:M182)</f>
        <v>0</v>
      </c>
      <c r="N163" s="186">
        <f>SUM(N164:N182)</f>
        <v>0</v>
      </c>
      <c r="O163" s="186">
        <f>SUM(O164:O182)</f>
        <v>0</v>
      </c>
      <c r="P163" s="186">
        <f>SUM(P164:P182)</f>
        <v>0</v>
      </c>
      <c r="Q163" s="186">
        <f>SUM(Q164:Q182)</f>
        <v>0</v>
      </c>
      <c r="R163" s="186">
        <f>SUM(R164:R182)</f>
        <v>0</v>
      </c>
    </row>
    <row r="164" spans="1:18" ht="22.5" customHeight="1">
      <c r="A164" s="188"/>
      <c r="B164" s="188"/>
      <c r="C164" s="188">
        <v>3020</v>
      </c>
      <c r="D164" s="187" t="s">
        <v>356</v>
      </c>
      <c r="E164" s="189">
        <f>F164+O164</f>
        <v>19423</v>
      </c>
      <c r="F164" s="189">
        <f>G164+K164+L164+J164+N164+M164</f>
        <v>19423</v>
      </c>
      <c r="G164" s="189">
        <f>H164+I164</f>
        <v>0</v>
      </c>
      <c r="H164" s="191">
        <f>'zał 20'!H9+'zał 21'!H9+'zał 22'!H9</f>
        <v>0</v>
      </c>
      <c r="I164" s="191">
        <f>'zał 20'!I9+'zał 21'!I9+'zał 22'!I9</f>
        <v>0</v>
      </c>
      <c r="J164" s="191">
        <f>'zał 20'!J9+'zał 21'!J9+'zał 22'!J9</f>
        <v>0</v>
      </c>
      <c r="K164" s="191">
        <f>'zał 20'!K9+'zał 21'!K9+'zał 22'!K9</f>
        <v>19423</v>
      </c>
      <c r="L164" s="191"/>
      <c r="M164" s="191"/>
      <c r="N164" s="191"/>
      <c r="O164" s="191"/>
      <c r="P164" s="191"/>
      <c r="Q164" s="191"/>
      <c r="R164" s="191"/>
    </row>
    <row r="165" spans="1:18" ht="22.5" customHeight="1">
      <c r="A165" s="188"/>
      <c r="B165" s="188"/>
      <c r="C165" s="188">
        <v>3240</v>
      </c>
      <c r="D165" s="210" t="s">
        <v>357</v>
      </c>
      <c r="E165" s="189">
        <f>F165+O165</f>
        <v>0</v>
      </c>
      <c r="F165" s="189">
        <f>G165+K165+L165+J165+N165+M165</f>
        <v>0</v>
      </c>
      <c r="G165" s="189">
        <f>H165+I165</f>
        <v>0</v>
      </c>
      <c r="H165" s="191">
        <f>'zał 20'!H10+'zał 21'!H10+'zał 22'!H10</f>
        <v>0</v>
      </c>
      <c r="I165" s="191">
        <f>'zał 20'!I10+'zał 21'!I10+'zał 22'!I10</f>
        <v>0</v>
      </c>
      <c r="J165" s="211"/>
      <c r="K165" s="211"/>
      <c r="L165" s="191"/>
      <c r="M165" s="191"/>
      <c r="N165" s="191"/>
      <c r="O165" s="191"/>
      <c r="P165" s="191"/>
      <c r="Q165" s="191"/>
      <c r="R165" s="191"/>
    </row>
    <row r="166" spans="1:18" ht="22.5" customHeight="1">
      <c r="A166" s="188"/>
      <c r="B166" s="188"/>
      <c r="C166" s="188">
        <v>4010</v>
      </c>
      <c r="D166" s="187" t="s">
        <v>287</v>
      </c>
      <c r="E166" s="189">
        <f>F166+O166</f>
        <v>3467639</v>
      </c>
      <c r="F166" s="189">
        <f>G166+K166+L166+J166+N166+M166</f>
        <v>3467639</v>
      </c>
      <c r="G166" s="189">
        <f>H166+I166</f>
        <v>3467639</v>
      </c>
      <c r="H166" s="191">
        <f>'zał 20'!H11+'zał 21'!H11+'zał 22'!H11</f>
        <v>3467639</v>
      </c>
      <c r="I166" s="191">
        <f>'zał 20'!I11+'zał 21'!I11+'zał 22'!I11</f>
        <v>0</v>
      </c>
      <c r="J166" s="191"/>
      <c r="K166" s="191"/>
      <c r="L166" s="191"/>
      <c r="M166" s="191"/>
      <c r="N166" s="191"/>
      <c r="O166" s="191"/>
      <c r="P166" s="191"/>
      <c r="Q166" s="191"/>
      <c r="R166" s="191"/>
    </row>
    <row r="167" spans="1:18" ht="22.5" customHeight="1">
      <c r="A167" s="188"/>
      <c r="B167" s="188"/>
      <c r="C167" s="188">
        <v>4040</v>
      </c>
      <c r="D167" s="187" t="s">
        <v>288</v>
      </c>
      <c r="E167" s="189">
        <f>F167+P167</f>
        <v>317506</v>
      </c>
      <c r="F167" s="189">
        <f>G167+J167+K167+L167+M167+N167</f>
        <v>317506</v>
      </c>
      <c r="G167" s="189">
        <f>H167+I167</f>
        <v>317506</v>
      </c>
      <c r="H167" s="191">
        <f>'zał 20'!H12+'zał 21'!H12+'zał 22'!H12</f>
        <v>317506</v>
      </c>
      <c r="I167" s="191">
        <f>'zał 20'!I12+'zał 21'!I12+'zał 22'!I12</f>
        <v>0</v>
      </c>
      <c r="J167" s="191"/>
      <c r="K167" s="191"/>
      <c r="L167" s="191"/>
      <c r="M167" s="191"/>
      <c r="N167" s="191"/>
      <c r="O167" s="191"/>
      <c r="P167" s="191"/>
      <c r="Q167" s="191"/>
      <c r="R167" s="191"/>
    </row>
    <row r="168" spans="1:18" ht="22.5" customHeight="1">
      <c r="A168" s="188"/>
      <c r="B168" s="188"/>
      <c r="C168" s="188">
        <v>4110</v>
      </c>
      <c r="D168" s="187" t="s">
        <v>289</v>
      </c>
      <c r="E168" s="189">
        <f>F168+O168</f>
        <v>601838</v>
      </c>
      <c r="F168" s="189">
        <f>G168+K168+L168+J168+N168+M168</f>
        <v>601838</v>
      </c>
      <c r="G168" s="189">
        <f>H168+I168</f>
        <v>601838</v>
      </c>
      <c r="H168" s="191">
        <f>'zał 20'!H13+'zał 21'!H13+'zał 22'!H13</f>
        <v>601838</v>
      </c>
      <c r="I168" s="191">
        <f>'zał 20'!I13+'zał 21'!I13+'zał 22'!I13</f>
        <v>0</v>
      </c>
      <c r="J168" s="191"/>
      <c r="K168" s="191"/>
      <c r="L168" s="191"/>
      <c r="M168" s="191"/>
      <c r="N168" s="191"/>
      <c r="O168" s="191"/>
      <c r="P168" s="191"/>
      <c r="Q168" s="191"/>
      <c r="R168" s="191"/>
    </row>
    <row r="169" spans="1:18" ht="22.5" customHeight="1">
      <c r="A169" s="188"/>
      <c r="B169" s="188"/>
      <c r="C169" s="188">
        <v>4120</v>
      </c>
      <c r="D169" s="187" t="s">
        <v>290</v>
      </c>
      <c r="E169" s="189">
        <f>F169+O169</f>
        <v>92736</v>
      </c>
      <c r="F169" s="189">
        <f>G169+K169+L169+J169+N169+M169</f>
        <v>92736</v>
      </c>
      <c r="G169" s="189">
        <f>H169+I169</f>
        <v>92736</v>
      </c>
      <c r="H169" s="191">
        <f>'zał 20'!H14+'zał 21'!H14+'zał 22'!H14</f>
        <v>92736</v>
      </c>
      <c r="I169" s="191">
        <f>'zał 20'!I14+'zał 21'!I14+'zał 22'!I14</f>
        <v>0</v>
      </c>
      <c r="J169" s="191"/>
      <c r="K169" s="191"/>
      <c r="L169" s="191"/>
      <c r="M169" s="191"/>
      <c r="N169" s="191"/>
      <c r="O169" s="191"/>
      <c r="P169" s="191"/>
      <c r="Q169" s="191"/>
      <c r="R169" s="191"/>
    </row>
    <row r="170" spans="1:18" ht="22.5" customHeight="1">
      <c r="A170" s="188"/>
      <c r="B170" s="188"/>
      <c r="C170" s="188">
        <v>4170</v>
      </c>
      <c r="D170" s="187" t="s">
        <v>292</v>
      </c>
      <c r="E170" s="189">
        <f>F170+O170</f>
        <v>28800</v>
      </c>
      <c r="F170" s="189">
        <f>G170+K170+L170+J170+N170+M170</f>
        <v>28800</v>
      </c>
      <c r="G170" s="189">
        <f>H170+I170</f>
        <v>28800</v>
      </c>
      <c r="H170" s="191">
        <f>'zał 20'!H15+'zał 21'!H15+'zał 22'!H15</f>
        <v>28800</v>
      </c>
      <c r="I170" s="191">
        <f>'zał 20'!I15+'zał 21'!I15+'zał 22'!I15</f>
        <v>0</v>
      </c>
      <c r="J170" s="191"/>
      <c r="K170" s="191"/>
      <c r="L170" s="191"/>
      <c r="M170" s="191"/>
      <c r="N170" s="191"/>
      <c r="O170" s="191"/>
      <c r="P170" s="191"/>
      <c r="Q170" s="191"/>
      <c r="R170" s="191"/>
    </row>
    <row r="171" spans="1:18" ht="22.5" customHeight="1">
      <c r="A171" s="188"/>
      <c r="B171" s="188"/>
      <c r="C171" s="188">
        <v>4210</v>
      </c>
      <c r="D171" s="187" t="s">
        <v>273</v>
      </c>
      <c r="E171" s="189">
        <f>F171+O171</f>
        <v>69302</v>
      </c>
      <c r="F171" s="189">
        <f>G171+K171+L171+J171+N171+M171</f>
        <v>69302</v>
      </c>
      <c r="G171" s="189">
        <f>H171+I171</f>
        <v>69302</v>
      </c>
      <c r="H171" s="191">
        <f>'zał 20'!H16+'zał 21'!H16+'zał 22'!H16</f>
        <v>0</v>
      </c>
      <c r="I171" s="191">
        <f>'zał 20'!I16+'zał 21'!I16+'zał 22'!I16</f>
        <v>69302</v>
      </c>
      <c r="J171" s="191"/>
      <c r="K171" s="191"/>
      <c r="L171" s="191"/>
      <c r="M171" s="191"/>
      <c r="N171" s="191"/>
      <c r="O171" s="191"/>
      <c r="P171" s="191"/>
      <c r="Q171" s="191"/>
      <c r="R171" s="191"/>
    </row>
    <row r="172" spans="1:18" ht="36.75" customHeight="1">
      <c r="A172" s="188"/>
      <c r="B172" s="188"/>
      <c r="C172" s="188">
        <v>4240</v>
      </c>
      <c r="D172" s="187" t="s">
        <v>340</v>
      </c>
      <c r="E172" s="189">
        <f>F172+O172</f>
        <v>21400</v>
      </c>
      <c r="F172" s="189">
        <f>G172+K172+L172+J172+N172+M172</f>
        <v>21400</v>
      </c>
      <c r="G172" s="189">
        <f>H172+I172</f>
        <v>21400</v>
      </c>
      <c r="H172" s="191">
        <f>'zał 20'!H17+'zał 21'!H17+'zał 22'!H17</f>
        <v>0</v>
      </c>
      <c r="I172" s="191">
        <f>'zał 20'!I17+'zał 21'!I17+'zał 22'!I17</f>
        <v>21400</v>
      </c>
      <c r="J172" s="191"/>
      <c r="K172" s="191"/>
      <c r="L172" s="191"/>
      <c r="M172" s="191"/>
      <c r="N172" s="191"/>
      <c r="O172" s="191"/>
      <c r="P172" s="191"/>
      <c r="Q172" s="191"/>
      <c r="R172" s="191"/>
    </row>
    <row r="173" spans="1:18" ht="22.5" customHeight="1">
      <c r="A173" s="188"/>
      <c r="B173" s="188"/>
      <c r="C173" s="188">
        <v>4260</v>
      </c>
      <c r="D173" s="187" t="s">
        <v>330</v>
      </c>
      <c r="E173" s="189">
        <f>F173+O173</f>
        <v>484000</v>
      </c>
      <c r="F173" s="189">
        <f>G173+K173+L173+J173+N173+M173</f>
        <v>484000</v>
      </c>
      <c r="G173" s="189">
        <f>H173+I173</f>
        <v>484000</v>
      </c>
      <c r="H173" s="191">
        <f>'zał 20'!H18+'zał 21'!H18+'zał 22'!H18</f>
        <v>0</v>
      </c>
      <c r="I173" s="191">
        <f>'zał 20'!I18+'zał 21'!I18+'zał 22'!I18</f>
        <v>484000</v>
      </c>
      <c r="J173" s="191"/>
      <c r="K173" s="191"/>
      <c r="L173" s="191"/>
      <c r="M173" s="191"/>
      <c r="N173" s="191"/>
      <c r="O173" s="191"/>
      <c r="P173" s="191"/>
      <c r="Q173" s="191"/>
      <c r="R173" s="191"/>
    </row>
    <row r="174" spans="1:18" ht="22.5" customHeight="1">
      <c r="A174" s="188"/>
      <c r="B174" s="188"/>
      <c r="C174" s="188">
        <v>4270</v>
      </c>
      <c r="D174" s="187" t="s">
        <v>275</v>
      </c>
      <c r="E174" s="189">
        <f>F174+O174</f>
        <v>20000</v>
      </c>
      <c r="F174" s="189">
        <f>G174+K174+L174+J174+N174+M174</f>
        <v>20000</v>
      </c>
      <c r="G174" s="189">
        <f>H174+I174</f>
        <v>20000</v>
      </c>
      <c r="H174" s="191">
        <f>'zał 20'!H19+'zał 21'!H19+'zał 22'!H19</f>
        <v>0</v>
      </c>
      <c r="I174" s="191">
        <f>'zał 20'!I19+'zał 21'!I19+'zał 22'!I19</f>
        <v>20000</v>
      </c>
      <c r="J174" s="191"/>
      <c r="K174" s="191"/>
      <c r="L174" s="191"/>
      <c r="M174" s="191"/>
      <c r="N174" s="191"/>
      <c r="O174" s="191"/>
      <c r="P174" s="191"/>
      <c r="Q174" s="191"/>
      <c r="R174" s="191"/>
    </row>
    <row r="175" spans="1:18" ht="22.5" customHeight="1">
      <c r="A175" s="188"/>
      <c r="B175" s="188"/>
      <c r="C175" s="188">
        <v>4280</v>
      </c>
      <c r="D175" s="187" t="s">
        <v>331</v>
      </c>
      <c r="E175" s="189">
        <f>F175+O175</f>
        <v>900</v>
      </c>
      <c r="F175" s="189">
        <f>G175+K175+L175+J175+N175+M175</f>
        <v>900</v>
      </c>
      <c r="G175" s="189">
        <f>H175+I175</f>
        <v>900</v>
      </c>
      <c r="H175" s="191">
        <f>'zał 20'!H20+'zał 21'!H20+'zał 22'!H20</f>
        <v>0</v>
      </c>
      <c r="I175" s="191">
        <f>'zał 20'!I20+'zał 21'!I20+'zał 22'!I20</f>
        <v>900</v>
      </c>
      <c r="J175" s="191"/>
      <c r="K175" s="191"/>
      <c r="L175" s="191"/>
      <c r="M175" s="191"/>
      <c r="N175" s="191"/>
      <c r="O175" s="191"/>
      <c r="P175" s="191"/>
      <c r="Q175" s="191"/>
      <c r="R175" s="191"/>
    </row>
    <row r="176" spans="1:18" ht="22.5" customHeight="1">
      <c r="A176" s="188"/>
      <c r="B176" s="188"/>
      <c r="C176" s="188">
        <v>4300</v>
      </c>
      <c r="D176" s="187" t="s">
        <v>269</v>
      </c>
      <c r="E176" s="189">
        <f>F176+O176</f>
        <v>182102</v>
      </c>
      <c r="F176" s="189">
        <f>G176+K176+L176+J176+N176+M176</f>
        <v>182102</v>
      </c>
      <c r="G176" s="189">
        <f>H176+I176</f>
        <v>182102</v>
      </c>
      <c r="H176" s="191">
        <f>'zał 20'!H21+'zał 21'!H21+'zał 22'!H21</f>
        <v>0</v>
      </c>
      <c r="I176" s="191">
        <f>'zał 20'!I21+'zał 21'!I21+'zał 22'!I21</f>
        <v>182102</v>
      </c>
      <c r="J176" s="191"/>
      <c r="K176" s="191"/>
      <c r="L176" s="191"/>
      <c r="M176" s="191"/>
      <c r="N176" s="191"/>
      <c r="O176" s="191"/>
      <c r="P176" s="191"/>
      <c r="Q176" s="191"/>
      <c r="R176" s="191"/>
    </row>
    <row r="177" spans="1:18" ht="22.5" customHeight="1">
      <c r="A177" s="188"/>
      <c r="B177" s="188"/>
      <c r="C177" s="188">
        <v>4350</v>
      </c>
      <c r="D177" s="187" t="s">
        <v>297</v>
      </c>
      <c r="E177" s="189">
        <f>F177+O177</f>
        <v>3500</v>
      </c>
      <c r="F177" s="189">
        <f>G177+K177+L177+J177+N177+M177</f>
        <v>3500</v>
      </c>
      <c r="G177" s="189">
        <f>H177+I177</f>
        <v>3500</v>
      </c>
      <c r="H177" s="191">
        <f>'zał 20'!H22+'zał 21'!H22+'zał 22'!H22</f>
        <v>0</v>
      </c>
      <c r="I177" s="191">
        <f>'zał 20'!I22+'zał 21'!I22+'zał 22'!I22</f>
        <v>3500</v>
      </c>
      <c r="J177" s="191"/>
      <c r="K177" s="191"/>
      <c r="L177" s="191"/>
      <c r="M177" s="191"/>
      <c r="N177" s="191"/>
      <c r="O177" s="191"/>
      <c r="P177" s="191"/>
      <c r="Q177" s="191"/>
      <c r="R177" s="191"/>
    </row>
    <row r="178" spans="1:18" ht="36.75" customHeight="1">
      <c r="A178" s="188"/>
      <c r="B178" s="188"/>
      <c r="C178" s="188">
        <v>4370</v>
      </c>
      <c r="D178" s="187" t="s">
        <v>352</v>
      </c>
      <c r="E178" s="189">
        <f>F178+O178</f>
        <v>7944</v>
      </c>
      <c r="F178" s="189">
        <f>G178+K178+L178+J178+N178+M178</f>
        <v>7944</v>
      </c>
      <c r="G178" s="189">
        <f>H178+I178</f>
        <v>7944</v>
      </c>
      <c r="H178" s="191">
        <f>'zał 20'!H23+'zał 21'!H23+'zał 22'!H23</f>
        <v>0</v>
      </c>
      <c r="I178" s="191">
        <f>'zał 20'!I23+'zał 21'!I23+'zał 22'!I23</f>
        <v>7944</v>
      </c>
      <c r="J178" s="191"/>
      <c r="K178" s="191"/>
      <c r="L178" s="191"/>
      <c r="M178" s="191"/>
      <c r="N178" s="191"/>
      <c r="O178" s="191"/>
      <c r="P178" s="191"/>
      <c r="Q178" s="191"/>
      <c r="R178" s="191"/>
    </row>
    <row r="179" spans="1:18" ht="22.5" customHeight="1">
      <c r="A179" s="188"/>
      <c r="B179" s="188"/>
      <c r="C179" s="188">
        <v>4410</v>
      </c>
      <c r="D179" s="187" t="s">
        <v>301</v>
      </c>
      <c r="E179" s="189">
        <f>F179+O179</f>
        <v>2400</v>
      </c>
      <c r="F179" s="189">
        <f>G179+K179+L179+J179+N179+M179</f>
        <v>2400</v>
      </c>
      <c r="G179" s="189">
        <f>H179+I179</f>
        <v>2400</v>
      </c>
      <c r="H179" s="191">
        <f>'zał 20'!H24+'zał 21'!H24+'zał 22'!H24</f>
        <v>0</v>
      </c>
      <c r="I179" s="191">
        <f>'zał 20'!I24+'zał 21'!I24+'zał 22'!I24</f>
        <v>2400</v>
      </c>
      <c r="J179" s="191"/>
      <c r="K179" s="191"/>
      <c r="L179" s="191"/>
      <c r="M179" s="191"/>
      <c r="N179" s="191"/>
      <c r="O179" s="191"/>
      <c r="P179" s="191"/>
      <c r="Q179" s="191"/>
      <c r="R179" s="191"/>
    </row>
    <row r="180" spans="1:18" ht="22.5" customHeight="1">
      <c r="A180" s="188"/>
      <c r="B180" s="188"/>
      <c r="C180" s="188">
        <v>4430</v>
      </c>
      <c r="D180" s="187" t="s">
        <v>333</v>
      </c>
      <c r="E180" s="189">
        <f>F180+O180</f>
        <v>6808</v>
      </c>
      <c r="F180" s="189">
        <f>G180+K180+L180+J180+N180+M180</f>
        <v>6808</v>
      </c>
      <c r="G180" s="189">
        <f>H180+I180</f>
        <v>6808</v>
      </c>
      <c r="H180" s="191">
        <f>'zał 20'!H25+'zał 21'!H25+'zał 22'!H25</f>
        <v>0</v>
      </c>
      <c r="I180" s="191">
        <f>'zał 20'!I25+'zał 21'!I25+'zał 22'!I25</f>
        <v>6808</v>
      </c>
      <c r="J180" s="191"/>
      <c r="K180" s="191"/>
      <c r="L180" s="191"/>
      <c r="M180" s="191"/>
      <c r="N180" s="191"/>
      <c r="O180" s="191"/>
      <c r="P180" s="191"/>
      <c r="Q180" s="191"/>
      <c r="R180" s="191"/>
    </row>
    <row r="181" spans="1:18" ht="36.75" customHeight="1">
      <c r="A181" s="188"/>
      <c r="B181" s="188"/>
      <c r="C181" s="188">
        <v>4440</v>
      </c>
      <c r="D181" s="187" t="s">
        <v>334</v>
      </c>
      <c r="E181" s="189">
        <f>F181+O181</f>
        <v>207261</v>
      </c>
      <c r="F181" s="189">
        <f>G181+K181+L181+J181+N181+M181</f>
        <v>207261</v>
      </c>
      <c r="G181" s="189">
        <f>H181+I181</f>
        <v>207261</v>
      </c>
      <c r="H181" s="191">
        <f>'zał 20'!H26+'zał 21'!H26+'zał 22'!H26</f>
        <v>0</v>
      </c>
      <c r="I181" s="191">
        <f>'zał 20'!I26+'zał 21'!I26+'zał 22'!I26</f>
        <v>207261</v>
      </c>
      <c r="J181" s="191"/>
      <c r="K181" s="191"/>
      <c r="L181" s="191"/>
      <c r="M181" s="191"/>
      <c r="N181" s="191"/>
      <c r="O181" s="191"/>
      <c r="P181" s="191"/>
      <c r="Q181" s="191"/>
      <c r="R181" s="191"/>
    </row>
    <row r="182" spans="1:18" ht="36.75" customHeight="1">
      <c r="A182" s="188"/>
      <c r="B182" s="188"/>
      <c r="C182" s="188">
        <v>4700</v>
      </c>
      <c r="D182" s="187" t="s">
        <v>305</v>
      </c>
      <c r="E182" s="189">
        <f>F182+O182</f>
        <v>3000</v>
      </c>
      <c r="F182" s="189">
        <f>G182+K182+L182+J182+N182+M182</f>
        <v>3000</v>
      </c>
      <c r="G182" s="189">
        <f>H182+I182</f>
        <v>3000</v>
      </c>
      <c r="H182" s="191">
        <f>'zał 20'!H27+'zał 21'!H27+'zał 22'!H27</f>
        <v>0</v>
      </c>
      <c r="I182" s="191">
        <f>'zał 20'!I27+'zał 21'!I27+'zał 22'!I27</f>
        <v>3000</v>
      </c>
      <c r="J182" s="191"/>
      <c r="K182" s="191"/>
      <c r="L182" s="191"/>
      <c r="M182" s="191"/>
      <c r="N182" s="191"/>
      <c r="O182" s="191"/>
      <c r="P182" s="191"/>
      <c r="Q182" s="191"/>
      <c r="R182" s="191"/>
    </row>
    <row r="183" spans="1:18" ht="22.5" customHeight="1">
      <c r="A183" s="184"/>
      <c r="B183" s="184">
        <v>80113</v>
      </c>
      <c r="C183" s="184"/>
      <c r="D183" s="196" t="s">
        <v>358</v>
      </c>
      <c r="E183" s="186">
        <f>SUM(E184:E197)</f>
        <v>736026.5275</v>
      </c>
      <c r="F183" s="186">
        <f>SUM(F184:F197)</f>
        <v>736026.5275</v>
      </c>
      <c r="G183" s="186">
        <f>SUM(G184:G197)</f>
        <v>735026.5275</v>
      </c>
      <c r="H183" s="186">
        <f>SUM(H184:H197)</f>
        <v>103116.5275</v>
      </c>
      <c r="I183" s="186">
        <f>SUM(I184:I197)</f>
        <v>631910</v>
      </c>
      <c r="J183" s="186">
        <f>SUM(J184:J197)</f>
        <v>0</v>
      </c>
      <c r="K183" s="186">
        <f>SUM(K184:K197)</f>
        <v>1000</v>
      </c>
      <c r="L183" s="186">
        <f>SUM(L184:L197)</f>
        <v>0</v>
      </c>
      <c r="M183" s="186">
        <f>SUM(M184:M197)</f>
        <v>0</v>
      </c>
      <c r="N183" s="186">
        <f>SUM(N184:N197)</f>
        <v>0</v>
      </c>
      <c r="O183" s="186">
        <f>SUM(O184:O197)</f>
        <v>0</v>
      </c>
      <c r="P183" s="186">
        <f>SUM(P184:P197)</f>
        <v>0</v>
      </c>
      <c r="Q183" s="186">
        <f>SUM(Q184:Q197)</f>
        <v>0</v>
      </c>
      <c r="R183" s="186">
        <f>SUM(R184:R197)</f>
        <v>0</v>
      </c>
    </row>
    <row r="184" spans="1:18" ht="22.5" customHeight="1">
      <c r="A184" s="188"/>
      <c r="B184" s="188"/>
      <c r="C184" s="188">
        <v>3020</v>
      </c>
      <c r="D184" s="187" t="s">
        <v>359</v>
      </c>
      <c r="E184" s="189">
        <f>F184+O184</f>
        <v>1000</v>
      </c>
      <c r="F184" s="189">
        <f>G184+K184+L184+J184+N184+M184</f>
        <v>1000</v>
      </c>
      <c r="G184" s="189">
        <f>H184+I184</f>
        <v>0</v>
      </c>
      <c r="H184" s="190"/>
      <c r="I184" s="190"/>
      <c r="J184" s="190"/>
      <c r="K184" s="191">
        <v>1000</v>
      </c>
      <c r="L184" s="190"/>
      <c r="M184" s="190"/>
      <c r="N184" s="194"/>
      <c r="O184" s="190"/>
      <c r="P184" s="192"/>
      <c r="Q184" s="192"/>
      <c r="R184" s="190"/>
    </row>
    <row r="185" spans="1:18" ht="22.5" customHeight="1">
      <c r="A185" s="188"/>
      <c r="B185" s="188"/>
      <c r="C185" s="188">
        <v>4010</v>
      </c>
      <c r="D185" s="187" t="s">
        <v>287</v>
      </c>
      <c r="E185" s="189">
        <f>F185+O185</f>
        <v>69658</v>
      </c>
      <c r="F185" s="189">
        <f>G185+K185+L185+J185+N185+M185</f>
        <v>69658</v>
      </c>
      <c r="G185" s="189">
        <f>H185+I185</f>
        <v>69658</v>
      </c>
      <c r="H185" s="191">
        <v>69658</v>
      </c>
      <c r="I185" s="190"/>
      <c r="J185" s="190"/>
      <c r="K185" s="190"/>
      <c r="L185" s="190"/>
      <c r="M185" s="190"/>
      <c r="N185" s="190"/>
      <c r="O185" s="190"/>
      <c r="P185" s="192"/>
      <c r="Q185" s="192"/>
      <c r="R185" s="190"/>
    </row>
    <row r="186" spans="1:18" ht="22.5" customHeight="1">
      <c r="A186" s="188"/>
      <c r="B186" s="188"/>
      <c r="C186" s="188">
        <v>4040</v>
      </c>
      <c r="D186" s="187" t="s">
        <v>288</v>
      </c>
      <c r="E186" s="189">
        <f>F186+O186</f>
        <v>8007.000000000001</v>
      </c>
      <c r="F186" s="189">
        <f>G186+K186+L186+J186+N186+M186</f>
        <v>8007.000000000001</v>
      </c>
      <c r="G186" s="189">
        <f>H186+I186</f>
        <v>8007.000000000001</v>
      </c>
      <c r="H186" s="191">
        <f>94200*0.085</f>
        <v>8007.000000000001</v>
      </c>
      <c r="I186" s="190"/>
      <c r="J186" s="190"/>
      <c r="K186" s="190"/>
      <c r="L186" s="190"/>
      <c r="M186" s="190"/>
      <c r="N186" s="190"/>
      <c r="O186" s="190"/>
      <c r="P186" s="192"/>
      <c r="Q186" s="192"/>
      <c r="R186" s="190"/>
    </row>
    <row r="187" spans="1:18" ht="22.5" customHeight="1">
      <c r="A187" s="188"/>
      <c r="B187" s="188"/>
      <c r="C187" s="188">
        <v>4110</v>
      </c>
      <c r="D187" s="187" t="s">
        <v>289</v>
      </c>
      <c r="E187" s="189">
        <f>F187+O187</f>
        <v>12348.735</v>
      </c>
      <c r="F187" s="189">
        <f>G187+K187+L187+J187+N187+M187</f>
        <v>12348.735</v>
      </c>
      <c r="G187" s="189">
        <f>H187+I187</f>
        <v>12348.735</v>
      </c>
      <c r="H187" s="211">
        <f>(H185+H186)*0.159</f>
        <v>12348.735</v>
      </c>
      <c r="I187" s="191"/>
      <c r="J187" s="191"/>
      <c r="K187" s="191"/>
      <c r="L187" s="191"/>
      <c r="M187" s="190"/>
      <c r="N187" s="190"/>
      <c r="O187" s="190"/>
      <c r="P187" s="192"/>
      <c r="Q187" s="192"/>
      <c r="R187" s="190"/>
    </row>
    <row r="188" spans="1:18" ht="22.5" customHeight="1">
      <c r="A188" s="188"/>
      <c r="B188" s="188"/>
      <c r="C188" s="188">
        <v>4120</v>
      </c>
      <c r="D188" s="187" t="s">
        <v>290</v>
      </c>
      <c r="E188" s="189">
        <f>F188+O188</f>
        <v>1902.7925</v>
      </c>
      <c r="F188" s="189">
        <f>G188+K188+L188+J188+N188+M188</f>
        <v>1902.7925</v>
      </c>
      <c r="G188" s="189">
        <f>H188+I188</f>
        <v>1902.7925</v>
      </c>
      <c r="H188" s="211">
        <f>(H186+H185)*0.0245</f>
        <v>1902.7925</v>
      </c>
      <c r="I188" s="191"/>
      <c r="J188" s="191"/>
      <c r="K188" s="191"/>
      <c r="L188" s="191"/>
      <c r="M188" s="190"/>
      <c r="N188" s="190"/>
      <c r="O188" s="190"/>
      <c r="P188" s="192"/>
      <c r="Q188" s="192"/>
      <c r="R188" s="190"/>
    </row>
    <row r="189" spans="1:18" ht="22.5" customHeight="1">
      <c r="A189" s="188"/>
      <c r="B189" s="188"/>
      <c r="C189" s="188">
        <v>4170</v>
      </c>
      <c r="D189" s="187" t="s">
        <v>292</v>
      </c>
      <c r="E189" s="189">
        <f>F189+O189</f>
        <v>11200</v>
      </c>
      <c r="F189" s="189">
        <f>G189+K189+L189+J189+N189+M189</f>
        <v>11200</v>
      </c>
      <c r="G189" s="189">
        <f>H189+I189</f>
        <v>11200</v>
      </c>
      <c r="H189" s="191">
        <f>280*4*10</f>
        <v>11200</v>
      </c>
      <c r="I189" s="190"/>
      <c r="J189" s="190"/>
      <c r="K189" s="190"/>
      <c r="L189" s="190"/>
      <c r="M189" s="190"/>
      <c r="N189" s="190"/>
      <c r="O189" s="190"/>
      <c r="P189" s="192"/>
      <c r="Q189" s="192"/>
      <c r="R189" s="190"/>
    </row>
    <row r="190" spans="1:18" ht="22.5" customHeight="1">
      <c r="A190" s="188"/>
      <c r="B190" s="188"/>
      <c r="C190" s="188">
        <v>4210</v>
      </c>
      <c r="D190" s="187" t="s">
        <v>273</v>
      </c>
      <c r="E190" s="189">
        <f>F190+O190</f>
        <v>76600</v>
      </c>
      <c r="F190" s="189">
        <f>G190+K190+L190+J190+N190+M190</f>
        <v>76600</v>
      </c>
      <c r="G190" s="189">
        <f>H190+I190</f>
        <v>76600</v>
      </c>
      <c r="H190" s="190"/>
      <c r="I190" s="191">
        <v>76600</v>
      </c>
      <c r="J190" s="190"/>
      <c r="K190" s="190"/>
      <c r="L190" s="190"/>
      <c r="M190" s="190"/>
      <c r="N190" s="190"/>
      <c r="O190" s="190"/>
      <c r="P190" s="192"/>
      <c r="Q190" s="192"/>
      <c r="R190" s="190"/>
    </row>
    <row r="191" spans="1:18" ht="22.5" customHeight="1">
      <c r="A191" s="188"/>
      <c r="B191" s="188"/>
      <c r="C191" s="188">
        <v>4270</v>
      </c>
      <c r="D191" s="187" t="s">
        <v>275</v>
      </c>
      <c r="E191" s="189">
        <f>F191+O191</f>
        <v>44000</v>
      </c>
      <c r="F191" s="189">
        <f>G191+K191+L191+J191+N191+M191</f>
        <v>44000</v>
      </c>
      <c r="G191" s="189">
        <f>H191+I191</f>
        <v>44000</v>
      </c>
      <c r="H191" s="190"/>
      <c r="I191" s="191">
        <v>44000</v>
      </c>
      <c r="J191" s="190"/>
      <c r="K191" s="190"/>
      <c r="L191" s="190"/>
      <c r="M191" s="190"/>
      <c r="N191" s="190"/>
      <c r="O191" s="190"/>
      <c r="P191" s="192"/>
      <c r="Q191" s="192"/>
      <c r="R191" s="190"/>
    </row>
    <row r="192" spans="1:18" ht="22.5" customHeight="1">
      <c r="A192" s="188"/>
      <c r="B192" s="188"/>
      <c r="C192" s="188">
        <v>4280</v>
      </c>
      <c r="D192" s="187" t="s">
        <v>331</v>
      </c>
      <c r="E192" s="189">
        <f>F192+O192</f>
        <v>210</v>
      </c>
      <c r="F192" s="189">
        <f>G192+K192+L192+J192+N192+M192</f>
        <v>210</v>
      </c>
      <c r="G192" s="189">
        <f>H192+I192</f>
        <v>210</v>
      </c>
      <c r="H192" s="190"/>
      <c r="I192" s="191">
        <v>210</v>
      </c>
      <c r="J192" s="190"/>
      <c r="K192" s="190"/>
      <c r="L192" s="190"/>
      <c r="M192" s="190"/>
      <c r="N192" s="190"/>
      <c r="O192" s="190"/>
      <c r="P192" s="192"/>
      <c r="Q192" s="192"/>
      <c r="R192" s="190"/>
    </row>
    <row r="193" spans="1:18" ht="22.5" customHeight="1">
      <c r="A193" s="188"/>
      <c r="B193" s="188"/>
      <c r="C193" s="188">
        <v>4300</v>
      </c>
      <c r="D193" s="187" t="s">
        <v>269</v>
      </c>
      <c r="E193" s="189">
        <f>F193+O193</f>
        <v>495000</v>
      </c>
      <c r="F193" s="189">
        <f>G193+K193+L193+J193+N193+M193</f>
        <v>495000</v>
      </c>
      <c r="G193" s="189">
        <f>H193+I193</f>
        <v>495000</v>
      </c>
      <c r="H193" s="190"/>
      <c r="I193" s="191">
        <f>495000</f>
        <v>495000</v>
      </c>
      <c r="J193" s="190"/>
      <c r="K193" s="190"/>
      <c r="L193" s="190"/>
      <c r="M193" s="190"/>
      <c r="N193" s="190"/>
      <c r="O193" s="190"/>
      <c r="P193" s="192"/>
      <c r="Q193" s="192"/>
      <c r="R193" s="190"/>
    </row>
    <row r="194" spans="1:18" ht="36.75" customHeight="1">
      <c r="A194" s="188"/>
      <c r="B194" s="188"/>
      <c r="C194" s="188">
        <v>4360</v>
      </c>
      <c r="D194" s="187" t="s">
        <v>360</v>
      </c>
      <c r="E194" s="189">
        <f>F194+O194</f>
        <v>1200</v>
      </c>
      <c r="F194" s="189">
        <f>G194+K194+L194+J194+N194+M194</f>
        <v>1200</v>
      </c>
      <c r="G194" s="189">
        <f>H194+I194</f>
        <v>1200</v>
      </c>
      <c r="H194" s="190"/>
      <c r="I194" s="191">
        <v>1200</v>
      </c>
      <c r="J194" s="190"/>
      <c r="K194" s="190"/>
      <c r="L194" s="190"/>
      <c r="M194" s="190"/>
      <c r="N194" s="190"/>
      <c r="O194" s="190"/>
      <c r="P194" s="192"/>
      <c r="Q194" s="192"/>
      <c r="R194" s="190"/>
    </row>
    <row r="195" spans="1:18" ht="22.5" customHeight="1">
      <c r="A195" s="188"/>
      <c r="B195" s="188"/>
      <c r="C195" s="188">
        <v>4430</v>
      </c>
      <c r="D195" s="187" t="s">
        <v>277</v>
      </c>
      <c r="E195" s="189">
        <f>F195+O195</f>
        <v>9400</v>
      </c>
      <c r="F195" s="189">
        <f>G195+K195+L195+J195+N195+M195</f>
        <v>9400</v>
      </c>
      <c r="G195" s="189">
        <f>H195+I195</f>
        <v>9400</v>
      </c>
      <c r="H195" s="190"/>
      <c r="I195" s="191">
        <v>9400</v>
      </c>
      <c r="J195" s="190"/>
      <c r="K195" s="190"/>
      <c r="L195" s="190"/>
      <c r="M195" s="190"/>
      <c r="N195" s="190"/>
      <c r="O195" s="190"/>
      <c r="P195" s="192"/>
      <c r="Q195" s="192"/>
      <c r="R195" s="190"/>
    </row>
    <row r="196" spans="1:18" ht="36.75" customHeight="1">
      <c r="A196" s="188"/>
      <c r="B196" s="188"/>
      <c r="C196" s="188">
        <v>4440</v>
      </c>
      <c r="D196" s="187" t="s">
        <v>334</v>
      </c>
      <c r="E196" s="189">
        <f>F196+O196</f>
        <v>3000</v>
      </c>
      <c r="F196" s="189">
        <f>G196+K196+L196+J196+N196+M196</f>
        <v>3000</v>
      </c>
      <c r="G196" s="189">
        <f>H196+I196</f>
        <v>3000</v>
      </c>
      <c r="H196" s="190"/>
      <c r="I196" s="191">
        <v>3000</v>
      </c>
      <c r="J196" s="190"/>
      <c r="K196" s="190"/>
      <c r="L196" s="190"/>
      <c r="M196" s="190"/>
      <c r="N196" s="190"/>
      <c r="O196" s="190"/>
      <c r="P196" s="192"/>
      <c r="Q196" s="192"/>
      <c r="R196" s="190"/>
    </row>
    <row r="197" spans="1:18" ht="22.5" customHeight="1">
      <c r="A197" s="188"/>
      <c r="B197" s="188"/>
      <c r="C197" s="188">
        <v>4500</v>
      </c>
      <c r="D197" s="187" t="s">
        <v>361</v>
      </c>
      <c r="E197" s="189">
        <f>F197+O197</f>
        <v>2500</v>
      </c>
      <c r="F197" s="189">
        <f>G197+K197+L197+J197+N197+M197</f>
        <v>2500</v>
      </c>
      <c r="G197" s="189">
        <f>H197+I197</f>
        <v>2500</v>
      </c>
      <c r="H197" s="190"/>
      <c r="I197" s="191">
        <v>2500</v>
      </c>
      <c r="J197" s="190"/>
      <c r="K197" s="190"/>
      <c r="L197" s="190"/>
      <c r="M197" s="190"/>
      <c r="N197" s="190"/>
      <c r="O197" s="190"/>
      <c r="P197" s="192"/>
      <c r="Q197" s="192"/>
      <c r="R197" s="190"/>
    </row>
    <row r="198" spans="1:18" ht="22.5" customHeight="1">
      <c r="A198" s="196"/>
      <c r="B198" s="184">
        <v>80146</v>
      </c>
      <c r="C198" s="184"/>
      <c r="D198" s="196" t="s">
        <v>362</v>
      </c>
      <c r="E198" s="186">
        <f>SUM(E199:E203)</f>
        <v>38090</v>
      </c>
      <c r="F198" s="186">
        <f>SUM(F199:F203)</f>
        <v>38090</v>
      </c>
      <c r="G198" s="186">
        <f>SUM(G199:G203)</f>
        <v>38090</v>
      </c>
      <c r="H198" s="186">
        <f>SUM(H199:H203)</f>
        <v>0</v>
      </c>
      <c r="I198" s="186">
        <f>SUM(I199:I203)</f>
        <v>38090</v>
      </c>
      <c r="J198" s="186">
        <f>SUM(J199:J203)</f>
        <v>0</v>
      </c>
      <c r="K198" s="186">
        <f>SUM(K199:K203)</f>
        <v>0</v>
      </c>
      <c r="L198" s="186">
        <f>SUM(L199:L203)</f>
        <v>0</v>
      </c>
      <c r="M198" s="186">
        <f>SUM(M199:M203)</f>
        <v>0</v>
      </c>
      <c r="N198" s="186">
        <f>SUM(N199:N203)</f>
        <v>0</v>
      </c>
      <c r="O198" s="186">
        <f>SUM(O199:O203)</f>
        <v>0</v>
      </c>
      <c r="P198" s="186">
        <f>SUM(P199:P203)</f>
        <v>0</v>
      </c>
      <c r="Q198" s="186">
        <f>SUM(Q199:Q203)</f>
        <v>0</v>
      </c>
      <c r="R198" s="186">
        <f>SUM(R199:R203)</f>
        <v>0</v>
      </c>
    </row>
    <row r="199" spans="1:18" ht="22.5" customHeight="1">
      <c r="A199" s="187"/>
      <c r="B199" s="188"/>
      <c r="C199" s="188">
        <v>4210</v>
      </c>
      <c r="D199" s="187" t="s">
        <v>363</v>
      </c>
      <c r="E199" s="189">
        <f>F199+O199</f>
        <v>2200</v>
      </c>
      <c r="F199" s="189">
        <f>G199+K199+L199+J199+N199+M199</f>
        <v>2200</v>
      </c>
      <c r="G199" s="189">
        <f>H199+I199</f>
        <v>2200</v>
      </c>
      <c r="H199" s="191"/>
      <c r="I199" s="191">
        <f>'zał 15'!I41+'zał 16'!I41+'zał 17'!I41+'zał 18'!I27+'zał 19'!I27+'zał 20'!I30+'zał 21'!I30+'zał 22'!I30</f>
        <v>2200</v>
      </c>
      <c r="J199" s="191"/>
      <c r="K199" s="191"/>
      <c r="L199" s="191"/>
      <c r="M199" s="191"/>
      <c r="N199" s="191"/>
      <c r="O199" s="191"/>
      <c r="P199" s="191"/>
      <c r="Q199" s="191"/>
      <c r="R199" s="191"/>
    </row>
    <row r="200" spans="1:18" ht="22.5" customHeight="1">
      <c r="A200" s="187"/>
      <c r="B200" s="188"/>
      <c r="C200" s="212">
        <v>4240</v>
      </c>
      <c r="D200" s="206" t="s">
        <v>340</v>
      </c>
      <c r="E200" s="189">
        <f>F200+O200</f>
        <v>794</v>
      </c>
      <c r="F200" s="189">
        <f>G200+K200+L200+J200+N200+M200</f>
        <v>794</v>
      </c>
      <c r="G200" s="189">
        <f>H200+I200</f>
        <v>794</v>
      </c>
      <c r="H200" s="191"/>
      <c r="I200" s="191">
        <f>'zał 15'!I42+'zał 16'!I42+'zał 17'!I42+'zał 18'!I28+'zał 19'!I28+'zał 20'!I31+'zał 21'!I31+'zał 22'!I31</f>
        <v>794</v>
      </c>
      <c r="J200" s="191"/>
      <c r="K200" s="191"/>
      <c r="L200" s="191"/>
      <c r="M200" s="191"/>
      <c r="N200" s="191"/>
      <c r="O200" s="191"/>
      <c r="P200" s="191"/>
      <c r="Q200" s="191"/>
      <c r="R200" s="191"/>
    </row>
    <row r="201" spans="1:18" ht="22.5" customHeight="1">
      <c r="A201" s="187"/>
      <c r="B201" s="188"/>
      <c r="C201" s="188">
        <v>4300</v>
      </c>
      <c r="D201" s="187" t="s">
        <v>350</v>
      </c>
      <c r="E201" s="189">
        <f>F201+O201</f>
        <v>14290</v>
      </c>
      <c r="F201" s="189">
        <f>G201+K201+L201+J201+N201+M201</f>
        <v>14290</v>
      </c>
      <c r="G201" s="189">
        <f>H201+I201</f>
        <v>14290</v>
      </c>
      <c r="H201" s="191"/>
      <c r="I201" s="191">
        <f>'zał 15'!I43+'zał 16'!I43+'zał 17'!I43+'zał 18'!I29+'zał 19'!I29+'zał 20'!I32+'zał 21'!I32+'zał 22'!I32</f>
        <v>14290</v>
      </c>
      <c r="J201" s="191"/>
      <c r="K201" s="191"/>
      <c r="L201" s="191"/>
      <c r="M201" s="191"/>
      <c r="N201" s="191"/>
      <c r="O201" s="191"/>
      <c r="P201" s="191"/>
      <c r="Q201" s="191"/>
      <c r="R201" s="191"/>
    </row>
    <row r="202" spans="1:18" ht="22.5" customHeight="1">
      <c r="A202" s="187"/>
      <c r="B202" s="188"/>
      <c r="C202" s="188">
        <v>4410</v>
      </c>
      <c r="D202" s="187" t="s">
        <v>301</v>
      </c>
      <c r="E202" s="189">
        <f>F202+O202</f>
        <v>12106</v>
      </c>
      <c r="F202" s="189">
        <f>G202+K202+L202+J202+N202+M202</f>
        <v>12106</v>
      </c>
      <c r="G202" s="189">
        <f>H202+I202</f>
        <v>12106</v>
      </c>
      <c r="H202" s="191"/>
      <c r="I202" s="191">
        <f>'zał 15'!I44+'zał 16'!I44+'zał 17'!I44+'zał 18'!I30+'zał 19'!I30+'zał 20'!I33+'zał 21'!I33+'zał 22'!I33</f>
        <v>12106</v>
      </c>
      <c r="J202" s="191"/>
      <c r="K202" s="191"/>
      <c r="L202" s="191"/>
      <c r="M202" s="191"/>
      <c r="N202" s="191"/>
      <c r="O202" s="191"/>
      <c r="P202" s="191"/>
      <c r="Q202" s="191"/>
      <c r="R202" s="191"/>
    </row>
    <row r="203" spans="1:18" ht="36.75" customHeight="1">
      <c r="A203" s="187"/>
      <c r="B203" s="188"/>
      <c r="C203" s="212">
        <v>4700</v>
      </c>
      <c r="D203" s="206" t="s">
        <v>355</v>
      </c>
      <c r="E203" s="189">
        <f>F203+O203</f>
        <v>8700</v>
      </c>
      <c r="F203" s="189">
        <f>G203+K203+L203+J203+N203+M203</f>
        <v>8700</v>
      </c>
      <c r="G203" s="189">
        <f>H203+I203</f>
        <v>8700</v>
      </c>
      <c r="H203" s="191"/>
      <c r="I203" s="191">
        <f>'zał 15'!I45+'zał 16'!I45+'zał 17'!I45+'zał 18'!I31+'zał 19'!I31+'zał 20'!I34+'zał 21'!I34+'zał 22'!I34</f>
        <v>8700</v>
      </c>
      <c r="J203" s="191"/>
      <c r="K203" s="191"/>
      <c r="L203" s="191"/>
      <c r="M203" s="191"/>
      <c r="N203" s="191"/>
      <c r="O203" s="191"/>
      <c r="P203" s="191"/>
      <c r="Q203" s="191"/>
      <c r="R203" s="191"/>
    </row>
    <row r="204" spans="1:18" ht="22.5" customHeight="1">
      <c r="A204" s="213"/>
      <c r="B204" s="213">
        <v>80148</v>
      </c>
      <c r="C204" s="213"/>
      <c r="D204" s="214" t="s">
        <v>192</v>
      </c>
      <c r="E204" s="215">
        <f>SUM(E205:E217)</f>
        <v>1732623</v>
      </c>
      <c r="F204" s="215">
        <f>SUM(F205:F217)</f>
        <v>1732623</v>
      </c>
      <c r="G204" s="215">
        <f>SUM(G205:G217)</f>
        <v>1728823</v>
      </c>
      <c r="H204" s="215">
        <f>SUM(H205:H217)</f>
        <v>610052</v>
      </c>
      <c r="I204" s="215">
        <f>SUM(I205:I217)</f>
        <v>1118771</v>
      </c>
      <c r="J204" s="215">
        <f>SUM(J205:J217)</f>
        <v>0</v>
      </c>
      <c r="K204" s="215">
        <f>SUM(K205:K217)</f>
        <v>3800</v>
      </c>
      <c r="L204" s="215">
        <f>SUM(L205:L217)</f>
        <v>0</v>
      </c>
      <c r="M204" s="215">
        <f>SUM(M205:M217)</f>
        <v>0</v>
      </c>
      <c r="N204" s="215">
        <f>SUM(N205:N217)</f>
        <v>0</v>
      </c>
      <c r="O204" s="215">
        <f>SUM(O205:O217)</f>
        <v>0</v>
      </c>
      <c r="P204" s="215">
        <f>SUM(P205:P217)</f>
        <v>0</v>
      </c>
      <c r="Q204" s="215">
        <f>SUM(Q205:Q217)</f>
        <v>0</v>
      </c>
      <c r="R204" s="215">
        <f>SUM(R205:R217)</f>
        <v>0</v>
      </c>
    </row>
    <row r="205" spans="1:18" ht="22.5" customHeight="1">
      <c r="A205" s="188"/>
      <c r="B205" s="188"/>
      <c r="C205" s="188">
        <v>3020</v>
      </c>
      <c r="D205" s="187" t="s">
        <v>286</v>
      </c>
      <c r="E205" s="189">
        <f>F205+O205</f>
        <v>3800</v>
      </c>
      <c r="F205" s="189">
        <f>G205+K205+L205+J205+N205+M205</f>
        <v>3800</v>
      </c>
      <c r="G205" s="189">
        <f>H205+I205</f>
        <v>0</v>
      </c>
      <c r="H205" s="191">
        <f>'zał 15'!H47+'zał 17'!H47+'zał 18'!H33+'zał 19'!H33+'zał 20'!H36+'zał 21'!H36</f>
        <v>0</v>
      </c>
      <c r="I205" s="191">
        <f>'zał 15'!I47+'zał 17'!I47+'zał 18'!I33+'zał 19'!I33+'zał 20'!I36+'zał 21'!I36</f>
        <v>0</v>
      </c>
      <c r="J205" s="191">
        <f>'zał 15'!J47+'zał 17'!J47+'zał 18'!J33+'zał 19'!J33+'zał 20'!J36+'zał 21'!J36</f>
        <v>0</v>
      </c>
      <c r="K205" s="191">
        <f>'zał 15'!K47+'zał 17'!K47+'zał 18'!K33+'zał 19'!K33+'zał 20'!K36+'zał 21'!K36</f>
        <v>3800</v>
      </c>
      <c r="L205" s="191"/>
      <c r="M205" s="191"/>
      <c r="N205" s="191"/>
      <c r="O205" s="191"/>
      <c r="P205" s="191"/>
      <c r="Q205" s="191"/>
      <c r="R205" s="191"/>
    </row>
    <row r="206" spans="1:18" ht="22.5" customHeight="1">
      <c r="A206" s="188"/>
      <c r="B206" s="188"/>
      <c r="C206" s="188">
        <v>4010</v>
      </c>
      <c r="D206" s="187" t="s">
        <v>287</v>
      </c>
      <c r="E206" s="189">
        <f>F206+O206</f>
        <v>471865</v>
      </c>
      <c r="F206" s="189">
        <f>G206+K206+L206+J206+N206+M206</f>
        <v>471865</v>
      </c>
      <c r="G206" s="189">
        <f>H206+I206</f>
        <v>471865</v>
      </c>
      <c r="H206" s="191">
        <f>'zał 15'!H48+'zał 17'!H48+'zał 18'!H34+'zał 19'!H34+'zał 20'!H37+'zał 21'!H37</f>
        <v>471865</v>
      </c>
      <c r="I206" s="191">
        <f>'zał 15'!I48+'zał 17'!I48+'zał 18'!I34+'zał 19'!I34+'zał 20'!I37+'zał 21'!I37</f>
        <v>0</v>
      </c>
      <c r="J206" s="191"/>
      <c r="K206" s="191"/>
      <c r="L206" s="191"/>
      <c r="M206" s="191"/>
      <c r="N206" s="191"/>
      <c r="O206" s="191"/>
      <c r="P206" s="191"/>
      <c r="Q206" s="191"/>
      <c r="R206" s="191"/>
    </row>
    <row r="207" spans="1:18" ht="22.5" customHeight="1">
      <c r="A207" s="188"/>
      <c r="B207" s="188"/>
      <c r="C207" s="188">
        <v>4040</v>
      </c>
      <c r="D207" s="187" t="s">
        <v>288</v>
      </c>
      <c r="E207" s="189">
        <f>F207+O207</f>
        <v>41653</v>
      </c>
      <c r="F207" s="189">
        <f>G207+K207+L207+J207+N207+M207</f>
        <v>41653</v>
      </c>
      <c r="G207" s="189">
        <f>H207+I207</f>
        <v>41653</v>
      </c>
      <c r="H207" s="191">
        <f>'zał 15'!H49+'zał 17'!H49+'zał 18'!H35+'zał 19'!H35+'zał 20'!H38+'zał 21'!H38</f>
        <v>41653</v>
      </c>
      <c r="I207" s="191">
        <f>'zał 15'!I49+'zał 17'!I49+'zał 18'!I35+'zał 19'!I35+'zał 20'!I38+'zał 21'!I38</f>
        <v>0</v>
      </c>
      <c r="J207" s="191"/>
      <c r="K207" s="191"/>
      <c r="L207" s="191"/>
      <c r="M207" s="191"/>
      <c r="N207" s="191"/>
      <c r="O207" s="191"/>
      <c r="P207" s="191"/>
      <c r="Q207" s="191"/>
      <c r="R207" s="191"/>
    </row>
    <row r="208" spans="1:18" ht="22.5" customHeight="1">
      <c r="A208" s="188"/>
      <c r="B208" s="188"/>
      <c r="C208" s="188">
        <v>4110</v>
      </c>
      <c r="D208" s="187" t="s">
        <v>289</v>
      </c>
      <c r="E208" s="189">
        <f>F208+O208</f>
        <v>83429</v>
      </c>
      <c r="F208" s="189">
        <f>G208+K208+L208+J208+N208+M208</f>
        <v>83429</v>
      </c>
      <c r="G208" s="189">
        <f>H208+I208</f>
        <v>83429</v>
      </c>
      <c r="H208" s="191">
        <f>'zał 15'!H50+'zał 17'!H50+'zał 18'!H36+'zał 19'!H36+'zał 20'!H39+'zał 21'!H39</f>
        <v>83429</v>
      </c>
      <c r="I208" s="191">
        <f>'zał 15'!I50+'zał 17'!I50+'zał 18'!I36+'zał 19'!I36+'zał 20'!I39+'zał 21'!I39</f>
        <v>0</v>
      </c>
      <c r="J208" s="191"/>
      <c r="K208" s="191"/>
      <c r="L208" s="191"/>
      <c r="M208" s="191"/>
      <c r="N208" s="191"/>
      <c r="O208" s="191"/>
      <c r="P208" s="191"/>
      <c r="Q208" s="191"/>
      <c r="R208" s="191"/>
    </row>
    <row r="209" spans="1:18" ht="22.5" customHeight="1">
      <c r="A209" s="188"/>
      <c r="B209" s="188"/>
      <c r="C209" s="188">
        <v>4120</v>
      </c>
      <c r="D209" s="187" t="s">
        <v>290</v>
      </c>
      <c r="E209" s="189">
        <f>F209+O209</f>
        <v>13105</v>
      </c>
      <c r="F209" s="189">
        <f>G209+K209+L209+J209+N209+M209</f>
        <v>13105</v>
      </c>
      <c r="G209" s="189">
        <f>H209+I209</f>
        <v>13105</v>
      </c>
      <c r="H209" s="191">
        <f>'zał 15'!H51+'zał 17'!H51+'zał 18'!H37+'zał 19'!H37+'zał 20'!H40+'zał 21'!H40</f>
        <v>13105</v>
      </c>
      <c r="I209" s="191">
        <f>'zał 15'!I51+'zał 17'!I51+'zał 18'!I37+'zał 19'!I37+'zał 20'!I40+'zał 21'!I40</f>
        <v>0</v>
      </c>
      <c r="J209" s="191"/>
      <c r="K209" s="191"/>
      <c r="L209" s="191"/>
      <c r="M209" s="191"/>
      <c r="N209" s="191"/>
      <c r="O209" s="191"/>
      <c r="P209" s="191"/>
      <c r="Q209" s="191"/>
      <c r="R209" s="191"/>
    </row>
    <row r="210" spans="1:18" ht="22.5" customHeight="1">
      <c r="A210" s="188"/>
      <c r="B210" s="188"/>
      <c r="C210" s="188">
        <v>4210</v>
      </c>
      <c r="D210" s="187" t="s">
        <v>273</v>
      </c>
      <c r="E210" s="189">
        <f>F210+O210</f>
        <v>44230</v>
      </c>
      <c r="F210" s="189">
        <f>G210+K210+L210+J210+N210+M210</f>
        <v>44230</v>
      </c>
      <c r="G210" s="189">
        <f>H210+I210</f>
        <v>44230</v>
      </c>
      <c r="H210" s="191">
        <f>'zał 15'!H52+'zał 17'!H52+'zał 18'!H38+'zał 19'!H38+'zał 20'!H41+'zał 21'!H41</f>
        <v>0</v>
      </c>
      <c r="I210" s="191">
        <f>'zał 15'!I52+'zał 17'!I52+'zał 18'!I38+'zał 19'!I38+'zał 20'!I41+'zał 21'!I41</f>
        <v>44230</v>
      </c>
      <c r="J210" s="191"/>
      <c r="K210" s="191"/>
      <c r="L210" s="191"/>
      <c r="M210" s="191"/>
      <c r="N210" s="191"/>
      <c r="O210" s="191"/>
      <c r="P210" s="191"/>
      <c r="Q210" s="191"/>
      <c r="R210" s="191"/>
    </row>
    <row r="211" spans="1:18" ht="22.5" customHeight="1">
      <c r="A211" s="188"/>
      <c r="B211" s="188"/>
      <c r="C211" s="188">
        <v>4220</v>
      </c>
      <c r="D211" s="187" t="s">
        <v>364</v>
      </c>
      <c r="E211" s="189">
        <f>F211+O211</f>
        <v>1036244</v>
      </c>
      <c r="F211" s="189">
        <f>G211+K211+L211+J211+N211+M211</f>
        <v>1036244</v>
      </c>
      <c r="G211" s="189">
        <f>H211+I211</f>
        <v>1036244</v>
      </c>
      <c r="H211" s="191">
        <f>'zał 15'!H53+'zał 17'!H53+'zał 18'!H39+'zał 19'!H39+'zał 20'!H42+'zał 21'!H42</f>
        <v>0</v>
      </c>
      <c r="I211" s="191">
        <f>'zał 15'!I53+'zał 17'!I53+'zał 18'!I39+'zał 19'!I39+'zał 20'!I42+'zał 21'!I42</f>
        <v>1036244</v>
      </c>
      <c r="J211" s="190"/>
      <c r="K211" s="190"/>
      <c r="L211" s="190"/>
      <c r="M211" s="190"/>
      <c r="N211" s="190"/>
      <c r="O211" s="190"/>
      <c r="P211" s="192"/>
      <c r="Q211" s="192"/>
      <c r="R211" s="190"/>
    </row>
    <row r="212" spans="1:18" ht="22.5" customHeight="1">
      <c r="A212" s="188"/>
      <c r="B212" s="188"/>
      <c r="C212" s="188">
        <v>4270</v>
      </c>
      <c r="D212" s="187" t="s">
        <v>275</v>
      </c>
      <c r="E212" s="189">
        <f>F212+O212</f>
        <v>12100</v>
      </c>
      <c r="F212" s="189">
        <f>G212+K212+L212+J212+N212+M212</f>
        <v>12100</v>
      </c>
      <c r="G212" s="189">
        <f>H212+I212</f>
        <v>12100</v>
      </c>
      <c r="H212" s="191">
        <f>'zał 15'!H54+'zał 17'!H54+'zał 18'!H40+'zał 19'!H40+'zał 20'!H43+'zał 21'!H43</f>
        <v>0</v>
      </c>
      <c r="I212" s="191">
        <f>'zał 15'!I54+'zał 17'!I54+'zał 18'!I40+'zał 19'!I40+'zał 20'!I43+'zał 21'!I43</f>
        <v>12100</v>
      </c>
      <c r="J212" s="191"/>
      <c r="K212" s="191"/>
      <c r="L212" s="191"/>
      <c r="M212" s="191"/>
      <c r="N212" s="191"/>
      <c r="O212" s="191"/>
      <c r="P212" s="191"/>
      <c r="Q212" s="191"/>
      <c r="R212" s="191"/>
    </row>
    <row r="213" spans="1:18" ht="22.5" customHeight="1">
      <c r="A213" s="188"/>
      <c r="B213" s="188"/>
      <c r="C213" s="188">
        <v>4280</v>
      </c>
      <c r="D213" s="187" t="s">
        <v>331</v>
      </c>
      <c r="E213" s="189">
        <f>F213+O213</f>
        <v>700</v>
      </c>
      <c r="F213" s="189">
        <f>G213+K213+L213+J213+N213+M213</f>
        <v>700</v>
      </c>
      <c r="G213" s="189">
        <f>H213+I213</f>
        <v>700</v>
      </c>
      <c r="H213" s="191">
        <f>'zał 15'!H55+'zał 17'!H55+'zał 18'!H41+'zał 19'!H41+'zał 20'!H44+'zał 21'!H44</f>
        <v>0</v>
      </c>
      <c r="I213" s="191">
        <f>'zał 15'!I55+'zał 17'!I55+'zał 18'!I41+'zał 19'!I41+'zał 20'!I44+'zał 21'!I44</f>
        <v>700</v>
      </c>
      <c r="J213" s="191"/>
      <c r="K213" s="191"/>
      <c r="L213" s="191"/>
      <c r="M213" s="191"/>
      <c r="N213" s="191"/>
      <c r="O213" s="191"/>
      <c r="P213" s="191"/>
      <c r="Q213" s="191"/>
      <c r="R213" s="191"/>
    </row>
    <row r="214" spans="1:256" s="216" customFormat="1" ht="22.5" customHeight="1">
      <c r="A214" s="188"/>
      <c r="B214" s="188"/>
      <c r="C214" s="188">
        <v>4300</v>
      </c>
      <c r="D214" s="187" t="s">
        <v>269</v>
      </c>
      <c r="E214" s="189">
        <f>F214+O214</f>
        <v>1970</v>
      </c>
      <c r="F214" s="189">
        <f>G214+K214+L214+J214+N214+M214</f>
        <v>1970</v>
      </c>
      <c r="G214" s="189">
        <f>H214+I214</f>
        <v>1970</v>
      </c>
      <c r="H214" s="191">
        <f>'zał 15'!H56+'zał 17'!H56+'zał 18'!H42+'zał 19'!H42+'zał 20'!H45+'zał 21'!H45</f>
        <v>0</v>
      </c>
      <c r="I214" s="191">
        <f>'zał 15'!I56+'zał 17'!I56+'zał 18'!I42+'zał 19'!I42+'zał 20'!I45+'zał 21'!I45</f>
        <v>1970</v>
      </c>
      <c r="J214" s="191"/>
      <c r="K214" s="191"/>
      <c r="L214" s="191"/>
      <c r="M214" s="191"/>
      <c r="N214" s="191"/>
      <c r="O214" s="191"/>
      <c r="P214" s="191"/>
      <c r="Q214" s="191"/>
      <c r="R214" s="191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IU214" s="165"/>
      <c r="IV214" s="165"/>
    </row>
    <row r="215" spans="1:256" s="216" customFormat="1" ht="22.5" customHeight="1">
      <c r="A215" s="188"/>
      <c r="B215" s="188"/>
      <c r="C215" s="205">
        <v>4410</v>
      </c>
      <c r="D215" s="206" t="s">
        <v>353</v>
      </c>
      <c r="E215" s="189">
        <f>F215+O215</f>
        <v>1000</v>
      </c>
      <c r="F215" s="189">
        <f>G215+K215+L215+J215+N215+M215</f>
        <v>1000</v>
      </c>
      <c r="G215" s="189">
        <f>H215+I215</f>
        <v>1000</v>
      </c>
      <c r="H215" s="191">
        <f>'zał 15'!H57+'zał 17'!H57+'zał 18'!H43+'zał 19'!H43+'zał 20'!H46+'zał 21'!H46</f>
        <v>0</v>
      </c>
      <c r="I215" s="191">
        <f>'zał 15'!I57+'zał 17'!I57+'zał 18'!I43+'zał 19'!I43+'zał 20'!I46+'zał 21'!I46</f>
        <v>1000</v>
      </c>
      <c r="J215" s="191"/>
      <c r="K215" s="191"/>
      <c r="L215" s="191"/>
      <c r="M215" s="191"/>
      <c r="N215" s="191"/>
      <c r="O215" s="191"/>
      <c r="P215" s="191"/>
      <c r="Q215" s="191"/>
      <c r="R215" s="191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IU215" s="165"/>
      <c r="IV215" s="165"/>
    </row>
    <row r="216" spans="1:256" s="216" customFormat="1" ht="22.5" customHeight="1">
      <c r="A216" s="188"/>
      <c r="B216" s="188"/>
      <c r="C216" s="188">
        <v>4440</v>
      </c>
      <c r="D216" s="187" t="s">
        <v>303</v>
      </c>
      <c r="E216" s="189">
        <f>F216+O216</f>
        <v>20027</v>
      </c>
      <c r="F216" s="189">
        <f>G216+K216+L216+J216+N216+M216</f>
        <v>20027</v>
      </c>
      <c r="G216" s="189">
        <f>H216+I216</f>
        <v>20027</v>
      </c>
      <c r="H216" s="191">
        <f>'zał 15'!H58+'zał 17'!H58+'zał 18'!H44+'zał 19'!H44+'zał 20'!H47+'zał 21'!H47</f>
        <v>0</v>
      </c>
      <c r="I216" s="191">
        <f>'zał 15'!I58+'zał 17'!I58+'zał 18'!I44+'zał 19'!I44+'zał 20'!I47+'zał 21'!I47</f>
        <v>20027</v>
      </c>
      <c r="J216" s="191"/>
      <c r="K216" s="191"/>
      <c r="L216" s="191"/>
      <c r="M216" s="191"/>
      <c r="N216" s="191"/>
      <c r="O216" s="191"/>
      <c r="P216" s="191"/>
      <c r="Q216" s="191"/>
      <c r="R216" s="191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IU216" s="165"/>
      <c r="IV216" s="165"/>
    </row>
    <row r="217" spans="1:256" s="216" customFormat="1" ht="36.75" customHeight="1">
      <c r="A217" s="188"/>
      <c r="B217" s="188"/>
      <c r="C217" s="212">
        <v>4700</v>
      </c>
      <c r="D217" s="206" t="s">
        <v>355</v>
      </c>
      <c r="E217" s="189">
        <f>F217+O217</f>
        <v>2500</v>
      </c>
      <c r="F217" s="189">
        <f>G217+K217+L217+J217+N217+M217</f>
        <v>2500</v>
      </c>
      <c r="G217" s="189">
        <f>H217+I217</f>
        <v>2500</v>
      </c>
      <c r="H217" s="191">
        <f>'zał 15'!H59+'zał 17'!H59+'zał 18'!H45+'zał 19'!H45+'zał 20'!H48+'zał 21'!H48</f>
        <v>0</v>
      </c>
      <c r="I217" s="191">
        <f>'zał 15'!I59+'zał 17'!I59+'zał 18'!I45+'zał 19'!I45+'zał 20'!I48+'zał 21'!I48</f>
        <v>2500</v>
      </c>
      <c r="J217" s="191"/>
      <c r="K217" s="191"/>
      <c r="L217" s="191"/>
      <c r="M217" s="191"/>
      <c r="N217" s="191"/>
      <c r="O217" s="191"/>
      <c r="P217" s="191"/>
      <c r="Q217" s="191"/>
      <c r="R217" s="191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IU217" s="165"/>
      <c r="IV217" s="165"/>
    </row>
    <row r="218" spans="1:18" ht="22.5" customHeight="1">
      <c r="A218" s="184"/>
      <c r="B218" s="184">
        <v>80195</v>
      </c>
      <c r="C218" s="184"/>
      <c r="D218" s="196" t="s">
        <v>95</v>
      </c>
      <c r="E218" s="186">
        <f>SUM(E219:E223)</f>
        <v>828142.46</v>
      </c>
      <c r="F218" s="186">
        <f>SUM(F219:F223)</f>
        <v>828142.46</v>
      </c>
      <c r="G218" s="186">
        <f>SUM(G219:G223)</f>
        <v>156588</v>
      </c>
      <c r="H218" s="186">
        <f>SUM(H219:H223)</f>
        <v>0</v>
      </c>
      <c r="I218" s="186">
        <f>SUM(I219:I223)</f>
        <v>156588</v>
      </c>
      <c r="J218" s="186">
        <f>SUM(J219:J223)</f>
        <v>3000</v>
      </c>
      <c r="K218" s="186">
        <f>SUM(K219:K223)</f>
        <v>0</v>
      </c>
      <c r="L218" s="217">
        <f>SUM(L219:L223)</f>
        <v>668554.46</v>
      </c>
      <c r="M218" s="186">
        <f>SUM(M219:M223)</f>
        <v>0</v>
      </c>
      <c r="N218" s="186">
        <f>SUM(N219:N223)</f>
        <v>0</v>
      </c>
      <c r="O218" s="186">
        <f>SUM(O219:O223)</f>
        <v>0</v>
      </c>
      <c r="P218" s="186">
        <f>SUM(P219:P223)</f>
        <v>0</v>
      </c>
      <c r="Q218" s="186">
        <f>SUM(Q219:Q223)</f>
        <v>0</v>
      </c>
      <c r="R218" s="186">
        <f>SUM(R219:R223)</f>
        <v>0</v>
      </c>
    </row>
    <row r="219" spans="1:18" ht="54" customHeight="1">
      <c r="A219" s="188"/>
      <c r="B219" s="188"/>
      <c r="C219" s="188">
        <v>2820</v>
      </c>
      <c r="D219" s="187" t="s">
        <v>365</v>
      </c>
      <c r="E219" s="189">
        <f>F219+O219</f>
        <v>3000</v>
      </c>
      <c r="F219" s="189">
        <f>G219+K219+L219+J219+N219+M219</f>
        <v>3000</v>
      </c>
      <c r="G219" s="189">
        <f>H219+I219</f>
        <v>0</v>
      </c>
      <c r="H219" s="190"/>
      <c r="I219" s="190"/>
      <c r="J219" s="191">
        <f>'zał 26'!E5</f>
        <v>3000</v>
      </c>
      <c r="K219" s="190"/>
      <c r="L219" s="190"/>
      <c r="M219" s="201"/>
      <c r="N219" s="191"/>
      <c r="O219" s="191"/>
      <c r="P219" s="192"/>
      <c r="Q219" s="192"/>
      <c r="R219" s="190"/>
    </row>
    <row r="220" spans="1:18" ht="54" customHeight="1">
      <c r="A220" s="188"/>
      <c r="B220" s="188"/>
      <c r="C220" s="188"/>
      <c r="D220" s="187"/>
      <c r="E220" s="189">
        <f>F220+O220</f>
        <v>668554.46</v>
      </c>
      <c r="F220" s="189">
        <f>G220+K220+L220+J220+N220+M220</f>
        <v>668554.46</v>
      </c>
      <c r="G220" s="189">
        <f>H220+I220</f>
        <v>0</v>
      </c>
      <c r="H220" s="190"/>
      <c r="I220" s="190"/>
      <c r="J220" s="191"/>
      <c r="K220" s="190"/>
      <c r="L220" s="218">
        <v>668554.46</v>
      </c>
      <c r="M220" s="201"/>
      <c r="N220" s="191"/>
      <c r="O220" s="191"/>
      <c r="P220" s="192"/>
      <c r="Q220" s="192"/>
      <c r="R220" s="190"/>
    </row>
    <row r="221" spans="1:18" ht="22.5" customHeight="1">
      <c r="A221" s="188"/>
      <c r="B221" s="188"/>
      <c r="C221" s="188">
        <v>4210</v>
      </c>
      <c r="D221" s="187" t="s">
        <v>273</v>
      </c>
      <c r="E221" s="189">
        <f>F221+O221</f>
        <v>1500</v>
      </c>
      <c r="F221" s="189">
        <f>G221+K221+L221+J221+N221+M221</f>
        <v>1500</v>
      </c>
      <c r="G221" s="189">
        <f>H221+I221</f>
        <v>1500</v>
      </c>
      <c r="H221" s="190"/>
      <c r="I221" s="190">
        <v>1500</v>
      </c>
      <c r="J221" s="190"/>
      <c r="K221" s="190"/>
      <c r="L221" s="190"/>
      <c r="M221" s="190"/>
      <c r="N221" s="190"/>
      <c r="O221" s="190"/>
      <c r="P221" s="192"/>
      <c r="Q221" s="192"/>
      <c r="R221" s="190"/>
    </row>
    <row r="222" spans="1:18" ht="22.5" customHeight="1">
      <c r="A222" s="188"/>
      <c r="B222" s="188"/>
      <c r="C222" s="188">
        <v>4300</v>
      </c>
      <c r="D222" s="187" t="s">
        <v>350</v>
      </c>
      <c r="E222" s="189">
        <f>F222+O222</f>
        <v>1000</v>
      </c>
      <c r="F222" s="189">
        <f>G222+K222+L222+J222+N222+M222</f>
        <v>1000</v>
      </c>
      <c r="G222" s="189">
        <f>H222+I222</f>
        <v>1000</v>
      </c>
      <c r="H222" s="190"/>
      <c r="I222" s="190">
        <v>1000</v>
      </c>
      <c r="J222" s="190"/>
      <c r="K222" s="190"/>
      <c r="L222" s="190"/>
      <c r="M222" s="190"/>
      <c r="N222" s="190"/>
      <c r="O222" s="190"/>
      <c r="P222" s="192"/>
      <c r="Q222" s="192"/>
      <c r="R222" s="190"/>
    </row>
    <row r="223" spans="1:18" ht="36.75" customHeight="1">
      <c r="A223" s="187"/>
      <c r="B223" s="187"/>
      <c r="C223" s="188">
        <v>4440</v>
      </c>
      <c r="D223" s="187" t="s">
        <v>334</v>
      </c>
      <c r="E223" s="189">
        <f>F223+O223</f>
        <v>154088</v>
      </c>
      <c r="F223" s="189">
        <f>G223+K223+L223+J223+N223+M223</f>
        <v>154088</v>
      </c>
      <c r="G223" s="189">
        <f>H223+I223</f>
        <v>154088</v>
      </c>
      <c r="H223" s="191"/>
      <c r="I223" s="191">
        <f>'zał 15'!I61+'zał 16'!I47+'zał 17'!I61+'zał 18'!I47+'zał 19'!I47+'zał 20'!I50+'zał 21'!I50</f>
        <v>154088</v>
      </c>
      <c r="J223" s="191"/>
      <c r="K223" s="191"/>
      <c r="L223" s="191"/>
      <c r="M223" s="191"/>
      <c r="N223" s="191"/>
      <c r="O223" s="191"/>
      <c r="P223" s="191"/>
      <c r="Q223" s="191"/>
      <c r="R223" s="191"/>
    </row>
    <row r="224" spans="1:18" ht="22.5" customHeight="1">
      <c r="A224" s="219">
        <v>803</v>
      </c>
      <c r="B224" s="219"/>
      <c r="C224" s="220"/>
      <c r="D224" s="221" t="s">
        <v>366</v>
      </c>
      <c r="E224" s="182">
        <f>E225</f>
        <v>10000</v>
      </c>
      <c r="F224" s="182">
        <f>F225</f>
        <v>0</v>
      </c>
      <c r="G224" s="182">
        <f>G225</f>
        <v>0</v>
      </c>
      <c r="H224" s="182">
        <f>H225</f>
        <v>0</v>
      </c>
      <c r="I224" s="182">
        <f>I225</f>
        <v>0</v>
      </c>
      <c r="J224" s="182">
        <f>J225</f>
        <v>0</v>
      </c>
      <c r="K224" s="182">
        <f>K225</f>
        <v>0</v>
      </c>
      <c r="L224" s="182">
        <f>L225</f>
        <v>0</v>
      </c>
      <c r="M224" s="182">
        <f>M225</f>
        <v>0</v>
      </c>
      <c r="N224" s="182">
        <f>N225</f>
        <v>0</v>
      </c>
      <c r="O224" s="182">
        <f>O225</f>
        <v>10000</v>
      </c>
      <c r="P224" s="182">
        <f>P225</f>
        <v>10000</v>
      </c>
      <c r="Q224" s="182">
        <f>Q225</f>
        <v>0</v>
      </c>
      <c r="R224" s="182">
        <f>R225</f>
        <v>0</v>
      </c>
    </row>
    <row r="225" spans="1:18" ht="22.5" customHeight="1">
      <c r="A225" s="222"/>
      <c r="B225" s="223">
        <v>80395</v>
      </c>
      <c r="C225" s="188"/>
      <c r="D225" s="224" t="s">
        <v>95</v>
      </c>
      <c r="E225" s="225">
        <f>E226</f>
        <v>10000</v>
      </c>
      <c r="F225" s="225">
        <f>F226</f>
        <v>0</v>
      </c>
      <c r="G225" s="225">
        <f>G226</f>
        <v>0</v>
      </c>
      <c r="H225" s="225">
        <f>H226</f>
        <v>0</v>
      </c>
      <c r="I225" s="225">
        <f>I226</f>
        <v>0</v>
      </c>
      <c r="J225" s="225">
        <f>J226</f>
        <v>0</v>
      </c>
      <c r="K225" s="225">
        <f>K226</f>
        <v>0</v>
      </c>
      <c r="L225" s="225">
        <f>L226</f>
        <v>0</v>
      </c>
      <c r="M225" s="225">
        <f>M226</f>
        <v>0</v>
      </c>
      <c r="N225" s="225">
        <f>N226</f>
        <v>0</v>
      </c>
      <c r="O225" s="225">
        <f>O226</f>
        <v>10000</v>
      </c>
      <c r="P225" s="225">
        <f>P226</f>
        <v>10000</v>
      </c>
      <c r="Q225" s="225">
        <f>Q226</f>
        <v>0</v>
      </c>
      <c r="R225" s="225">
        <f>R226</f>
        <v>0</v>
      </c>
    </row>
    <row r="226" spans="1:18" ht="70.5" customHeight="1">
      <c r="A226" s="226"/>
      <c r="B226" s="226"/>
      <c r="C226" s="227">
        <v>6630</v>
      </c>
      <c r="D226" s="228" t="s">
        <v>272</v>
      </c>
      <c r="E226" s="189">
        <f>F226+O226</f>
        <v>10000</v>
      </c>
      <c r="F226" s="189">
        <f>G226+K226+L226+J226+N226+M226</f>
        <v>0</v>
      </c>
      <c r="G226" s="189">
        <f>H226+I226</f>
        <v>0</v>
      </c>
      <c r="H226" s="190"/>
      <c r="I226" s="190"/>
      <c r="J226" s="190"/>
      <c r="K226" s="190"/>
      <c r="L226" s="190"/>
      <c r="M226" s="190"/>
      <c r="N226" s="190"/>
      <c r="O226" s="191">
        <f>P226+R226</f>
        <v>10000</v>
      </c>
      <c r="P226" s="190">
        <f>'zał 11'!E35</f>
        <v>10000</v>
      </c>
      <c r="Q226" s="192"/>
      <c r="R226" s="190"/>
    </row>
    <row r="227" spans="1:18" ht="22.5" customHeight="1">
      <c r="A227" s="181">
        <v>851</v>
      </c>
      <c r="B227" s="181"/>
      <c r="C227" s="181"/>
      <c r="D227" s="181" t="s">
        <v>367</v>
      </c>
      <c r="E227" s="182">
        <f>E230+E233+E228</f>
        <v>336661</v>
      </c>
      <c r="F227" s="182">
        <f>F230+F233+F228</f>
        <v>336661</v>
      </c>
      <c r="G227" s="182">
        <f>G230+G233+G228</f>
        <v>146400</v>
      </c>
      <c r="H227" s="182">
        <f>H230+H233+H228</f>
        <v>75200</v>
      </c>
      <c r="I227" s="182">
        <f>I230+I233+I228</f>
        <v>71200</v>
      </c>
      <c r="J227" s="182">
        <f>J230+J233+J228</f>
        <v>146000</v>
      </c>
      <c r="K227" s="182">
        <f>K230+K233+K228</f>
        <v>0</v>
      </c>
      <c r="L227" s="182">
        <f>L230+L233+L228</f>
        <v>0</v>
      </c>
      <c r="M227" s="182">
        <f>M230+M233+M228</f>
        <v>44261</v>
      </c>
      <c r="N227" s="182">
        <f>N230+N233+N228</f>
        <v>0</v>
      </c>
      <c r="O227" s="182">
        <f>O230+O233+O228</f>
        <v>0</v>
      </c>
      <c r="P227" s="182">
        <f>P230+P233+P228</f>
        <v>0</v>
      </c>
      <c r="Q227" s="182">
        <f>Q230+Q233+Q228</f>
        <v>0</v>
      </c>
      <c r="R227" s="182">
        <f>R230+R233+R228</f>
        <v>0</v>
      </c>
    </row>
    <row r="228" spans="1:18" ht="22.5" customHeight="1">
      <c r="A228" s="229"/>
      <c r="B228" s="229">
        <v>85111</v>
      </c>
      <c r="C228" s="229"/>
      <c r="D228" s="230" t="s">
        <v>368</v>
      </c>
      <c r="E228" s="225">
        <f>E229</f>
        <v>44261</v>
      </c>
      <c r="F228" s="225">
        <f>F229</f>
        <v>44261</v>
      </c>
      <c r="G228" s="225">
        <f>G229</f>
        <v>0</v>
      </c>
      <c r="H228" s="225">
        <f>H229</f>
        <v>0</v>
      </c>
      <c r="I228" s="225">
        <f>I229</f>
        <v>0</v>
      </c>
      <c r="J228" s="225">
        <f>J229</f>
        <v>0</v>
      </c>
      <c r="K228" s="225">
        <f>K229</f>
        <v>0</v>
      </c>
      <c r="L228" s="225">
        <f>L229</f>
        <v>0</v>
      </c>
      <c r="M228" s="225">
        <f>M229</f>
        <v>44261</v>
      </c>
      <c r="N228" s="225">
        <f>N229</f>
        <v>0</v>
      </c>
      <c r="O228" s="225">
        <f>O229</f>
        <v>0</v>
      </c>
      <c r="P228" s="225">
        <f>P229</f>
        <v>0</v>
      </c>
      <c r="Q228" s="225">
        <f>Q229</f>
        <v>0</v>
      </c>
      <c r="R228" s="225">
        <f>R229</f>
        <v>0</v>
      </c>
    </row>
    <row r="229" spans="1:18" ht="22.5" customHeight="1">
      <c r="A229" s="184"/>
      <c r="B229" s="188"/>
      <c r="C229" s="188">
        <v>8020</v>
      </c>
      <c r="D229" s="187" t="s">
        <v>278</v>
      </c>
      <c r="E229" s="189">
        <f>F229+O229</f>
        <v>44261</v>
      </c>
      <c r="F229" s="189">
        <f>G229+K229+L229+J229+N229+M229</f>
        <v>44261</v>
      </c>
      <c r="G229" s="189">
        <f>H229+I229</f>
        <v>0</v>
      </c>
      <c r="H229" s="190"/>
      <c r="I229" s="190"/>
      <c r="J229" s="190"/>
      <c r="K229" s="190"/>
      <c r="L229" s="190"/>
      <c r="M229" s="190">
        <v>44261</v>
      </c>
      <c r="N229" s="190"/>
      <c r="O229" s="190"/>
      <c r="P229" s="192"/>
      <c r="Q229" s="192"/>
      <c r="R229" s="190"/>
    </row>
    <row r="230" spans="1:18" ht="22.5" customHeight="1">
      <c r="A230" s="229"/>
      <c r="B230" s="229">
        <v>85153</v>
      </c>
      <c r="C230" s="229"/>
      <c r="D230" s="230" t="s">
        <v>369</v>
      </c>
      <c r="E230" s="225">
        <f>SUM(E231:E232)</f>
        <v>50000</v>
      </c>
      <c r="F230" s="225">
        <f>SUM(F231:F232)</f>
        <v>50000</v>
      </c>
      <c r="G230" s="225">
        <f>SUM(G231:G232)</f>
        <v>5000</v>
      </c>
      <c r="H230" s="225">
        <f>SUM(H231:H232)</f>
        <v>0</v>
      </c>
      <c r="I230" s="225">
        <f>SUM(I231:I232)</f>
        <v>5000</v>
      </c>
      <c r="J230" s="225">
        <f>SUM(J231:J232)</f>
        <v>45000</v>
      </c>
      <c r="K230" s="225">
        <f>SUM(K231:K232)</f>
        <v>0</v>
      </c>
      <c r="L230" s="225">
        <f>SUM(L231:L232)</f>
        <v>0</v>
      </c>
      <c r="M230" s="225">
        <f>SUM(M231:M232)</f>
        <v>0</v>
      </c>
      <c r="N230" s="225">
        <f>SUM(N231:N232)</f>
        <v>0</v>
      </c>
      <c r="O230" s="225">
        <f>SUM(O231:O232)</f>
        <v>0</v>
      </c>
      <c r="P230" s="225">
        <f>SUM(P231:P232)</f>
        <v>0</v>
      </c>
      <c r="Q230" s="225">
        <f>SUM(Q231:Q232)</f>
        <v>0</v>
      </c>
      <c r="R230" s="225">
        <f>SUM(R231:R232)</f>
        <v>0</v>
      </c>
    </row>
    <row r="231" spans="1:18" ht="54" customHeight="1">
      <c r="A231" s="231"/>
      <c r="B231" s="231"/>
      <c r="C231" s="231">
        <v>2820</v>
      </c>
      <c r="D231" s="232" t="s">
        <v>370</v>
      </c>
      <c r="E231" s="189">
        <f>F231+O232</f>
        <v>45000</v>
      </c>
      <c r="F231" s="189">
        <f>G231+K232+L232+J231+N232+M232</f>
        <v>45000</v>
      </c>
      <c r="G231" s="189">
        <f>H231+I231</f>
        <v>0</v>
      </c>
      <c r="H231" s="190"/>
      <c r="I231" s="190"/>
      <c r="J231" s="190">
        <f>'zał 26'!E8</f>
        <v>45000</v>
      </c>
      <c r="K231" s="190"/>
      <c r="L231" s="190"/>
      <c r="M231" s="201"/>
      <c r="N231" s="190"/>
      <c r="O231" s="190"/>
      <c r="P231" s="192"/>
      <c r="Q231" s="192"/>
      <c r="R231" s="190"/>
    </row>
    <row r="232" spans="1:18" ht="22.5" customHeight="1">
      <c r="A232" s="231"/>
      <c r="B232" s="231"/>
      <c r="C232" s="188">
        <v>4210</v>
      </c>
      <c r="D232" s="187" t="s">
        <v>273</v>
      </c>
      <c r="E232" s="189">
        <f>F232+O232</f>
        <v>5000</v>
      </c>
      <c r="F232" s="189">
        <f>G232+K232+L232+J232+N232+M232</f>
        <v>5000</v>
      </c>
      <c r="G232" s="189">
        <f>H232+I232</f>
        <v>5000</v>
      </c>
      <c r="H232" s="190"/>
      <c r="I232" s="190">
        <v>5000</v>
      </c>
      <c r="J232" s="194"/>
      <c r="K232" s="190"/>
      <c r="L232" s="190"/>
      <c r="M232" s="201"/>
      <c r="N232" s="190"/>
      <c r="O232" s="190"/>
      <c r="P232" s="192"/>
      <c r="Q232" s="192"/>
      <c r="R232" s="190"/>
    </row>
    <row r="233" spans="1:18" ht="22.5" customHeight="1">
      <c r="A233" s="229"/>
      <c r="B233" s="229">
        <v>85154</v>
      </c>
      <c r="C233" s="229"/>
      <c r="D233" s="230" t="s">
        <v>371</v>
      </c>
      <c r="E233" s="225">
        <f>SUM(E234:E246)</f>
        <v>242400</v>
      </c>
      <c r="F233" s="225">
        <f>SUM(F234:F246)</f>
        <v>242400</v>
      </c>
      <c r="G233" s="225">
        <f>SUM(G234:G246)</f>
        <v>141400</v>
      </c>
      <c r="H233" s="225">
        <f>SUM(H234:H246)</f>
        <v>75200</v>
      </c>
      <c r="I233" s="225">
        <f>SUM(I234:I246)</f>
        <v>66200</v>
      </c>
      <c r="J233" s="225">
        <f>SUM(J234:J246)</f>
        <v>101000</v>
      </c>
      <c r="K233" s="225">
        <f>SUM(K234:K246)</f>
        <v>0</v>
      </c>
      <c r="L233" s="225">
        <f>SUM(L234:L246)</f>
        <v>0</v>
      </c>
      <c r="M233" s="225">
        <f>SUM(M234:M246)</f>
        <v>0</v>
      </c>
      <c r="N233" s="225">
        <f>SUM(N234:N246)</f>
        <v>0</v>
      </c>
      <c r="O233" s="225">
        <f>SUM(O234:O246)</f>
        <v>0</v>
      </c>
      <c r="P233" s="225">
        <f>SUM(P234:P246)</f>
        <v>0</v>
      </c>
      <c r="Q233" s="225">
        <f>SUM(Q234:Q246)</f>
        <v>0</v>
      </c>
      <c r="R233" s="225">
        <f>SUM(R234:R246)</f>
        <v>0</v>
      </c>
    </row>
    <row r="234" spans="1:18" ht="54" customHeight="1">
      <c r="A234" s="231"/>
      <c r="B234" s="231"/>
      <c r="C234" s="231">
        <v>2310</v>
      </c>
      <c r="D234" s="233" t="s">
        <v>372</v>
      </c>
      <c r="E234" s="189">
        <f>F234+O234</f>
        <v>6000</v>
      </c>
      <c r="F234" s="189">
        <f>G234+K234+L234+J234+N234+M234</f>
        <v>6000</v>
      </c>
      <c r="G234" s="189">
        <f>H234+I234</f>
        <v>0</v>
      </c>
      <c r="H234" s="190"/>
      <c r="I234" s="190"/>
      <c r="J234" s="190">
        <f>'zał 25'!E11</f>
        <v>6000</v>
      </c>
      <c r="K234" s="190"/>
      <c r="L234" s="190"/>
      <c r="M234" s="201"/>
      <c r="N234" s="190"/>
      <c r="O234" s="190"/>
      <c r="P234" s="192"/>
      <c r="Q234" s="192"/>
      <c r="R234" s="190"/>
    </row>
    <row r="235" spans="1:18" ht="54" customHeight="1">
      <c r="A235" s="231"/>
      <c r="B235" s="231"/>
      <c r="C235" s="231">
        <v>2820</v>
      </c>
      <c r="D235" s="232" t="s">
        <v>370</v>
      </c>
      <c r="E235" s="189">
        <f>F235+O235</f>
        <v>85000</v>
      </c>
      <c r="F235" s="189">
        <f>G235+K235+L235+J235+N235+M235</f>
        <v>85000</v>
      </c>
      <c r="G235" s="189">
        <f>H235+I235</f>
        <v>0</v>
      </c>
      <c r="H235" s="190"/>
      <c r="I235" s="190"/>
      <c r="J235" s="190">
        <f>'zał 26'!E10</f>
        <v>85000</v>
      </c>
      <c r="K235" s="190"/>
      <c r="L235" s="190"/>
      <c r="M235" s="201"/>
      <c r="N235" s="190"/>
      <c r="O235" s="190"/>
      <c r="P235" s="192"/>
      <c r="Q235" s="192"/>
      <c r="R235" s="190"/>
    </row>
    <row r="236" spans="1:18" ht="70.5" customHeight="1">
      <c r="A236" s="231"/>
      <c r="B236" s="231"/>
      <c r="C236" s="231">
        <v>2830</v>
      </c>
      <c r="D236" s="232" t="s">
        <v>373</v>
      </c>
      <c r="E236" s="189">
        <f>F236+O236</f>
        <v>10000</v>
      </c>
      <c r="F236" s="189">
        <f>G236+K236+L236+J236+N236+M236</f>
        <v>10000</v>
      </c>
      <c r="G236" s="189">
        <f>H236+I236</f>
        <v>0</v>
      </c>
      <c r="H236" s="190"/>
      <c r="I236" s="190"/>
      <c r="J236" s="190">
        <f>'zał 26'!E11</f>
        <v>10000</v>
      </c>
      <c r="K236" s="190"/>
      <c r="L236" s="190"/>
      <c r="M236" s="201"/>
      <c r="N236" s="190"/>
      <c r="O236" s="190"/>
      <c r="P236" s="192"/>
      <c r="Q236" s="192"/>
      <c r="R236" s="190"/>
    </row>
    <row r="237" spans="1:18" ht="22.5" customHeight="1">
      <c r="A237" s="231"/>
      <c r="B237" s="231"/>
      <c r="C237" s="231">
        <v>4110</v>
      </c>
      <c r="D237" s="233" t="s">
        <v>289</v>
      </c>
      <c r="E237" s="189">
        <f>F237+O237</f>
        <v>11000</v>
      </c>
      <c r="F237" s="189">
        <f>G237+K237+L237+J237+N237+M237</f>
        <v>11000</v>
      </c>
      <c r="G237" s="189">
        <f>H237+I237</f>
        <v>11000</v>
      </c>
      <c r="H237" s="190">
        <v>11000</v>
      </c>
      <c r="I237" s="190"/>
      <c r="J237" s="190"/>
      <c r="K237" s="190"/>
      <c r="L237" s="190"/>
      <c r="M237" s="190"/>
      <c r="N237" s="190"/>
      <c r="O237" s="190"/>
      <c r="P237" s="192"/>
      <c r="Q237" s="192"/>
      <c r="R237" s="190"/>
    </row>
    <row r="238" spans="1:18" ht="22.5" customHeight="1">
      <c r="A238" s="231"/>
      <c r="B238" s="231"/>
      <c r="C238" s="231">
        <v>4120</v>
      </c>
      <c r="D238" s="233" t="s">
        <v>290</v>
      </c>
      <c r="E238" s="189">
        <f>F238+O238</f>
        <v>1800</v>
      </c>
      <c r="F238" s="189">
        <f>G238+K238+L238+J238+N238+M238</f>
        <v>1800</v>
      </c>
      <c r="G238" s="189">
        <f>H238+I238</f>
        <v>1800</v>
      </c>
      <c r="H238" s="190">
        <v>1800</v>
      </c>
      <c r="I238" s="190"/>
      <c r="J238" s="190"/>
      <c r="K238" s="190"/>
      <c r="L238" s="190"/>
      <c r="M238" s="190"/>
      <c r="N238" s="190"/>
      <c r="O238" s="190"/>
      <c r="P238" s="192"/>
      <c r="Q238" s="192"/>
      <c r="R238" s="190"/>
    </row>
    <row r="239" spans="1:18" ht="22.5" customHeight="1">
      <c r="A239" s="231"/>
      <c r="B239" s="231"/>
      <c r="C239" s="231">
        <v>4170</v>
      </c>
      <c r="D239" s="233" t="s">
        <v>292</v>
      </c>
      <c r="E239" s="189">
        <f>F239+O239</f>
        <v>62400</v>
      </c>
      <c r="F239" s="189">
        <f>G239+K239+L239+J239+N239+M239</f>
        <v>62400</v>
      </c>
      <c r="G239" s="189">
        <f>H239+I239</f>
        <v>62400</v>
      </c>
      <c r="H239" s="190">
        <f>50000+12400</f>
        <v>62400</v>
      </c>
      <c r="I239" s="190"/>
      <c r="J239" s="190"/>
      <c r="K239" s="190"/>
      <c r="L239" s="190"/>
      <c r="M239" s="190"/>
      <c r="N239" s="190"/>
      <c r="O239" s="190"/>
      <c r="P239" s="192"/>
      <c r="Q239" s="192"/>
      <c r="R239" s="190"/>
    </row>
    <row r="240" spans="1:18" ht="22.5" customHeight="1">
      <c r="A240" s="231"/>
      <c r="B240" s="231"/>
      <c r="C240" s="231">
        <v>4210</v>
      </c>
      <c r="D240" s="233" t="s">
        <v>285</v>
      </c>
      <c r="E240" s="189">
        <f>F240+O240</f>
        <v>21200</v>
      </c>
      <c r="F240" s="189">
        <f>G240+K240+L240+J240+N240+M240</f>
        <v>21200</v>
      </c>
      <c r="G240" s="189">
        <f>H240+I240</f>
        <v>21200</v>
      </c>
      <c r="H240" s="190"/>
      <c r="I240" s="190">
        <v>21200</v>
      </c>
      <c r="J240" s="190"/>
      <c r="K240" s="190"/>
      <c r="L240" s="190"/>
      <c r="M240" s="190"/>
      <c r="N240" s="190"/>
      <c r="O240" s="190"/>
      <c r="P240" s="192"/>
      <c r="Q240" s="192"/>
      <c r="R240" s="190"/>
    </row>
    <row r="241" spans="1:18" ht="22.5" customHeight="1">
      <c r="A241" s="231"/>
      <c r="B241" s="231"/>
      <c r="C241" s="231">
        <v>4260</v>
      </c>
      <c r="D241" s="233" t="s">
        <v>330</v>
      </c>
      <c r="E241" s="189">
        <f>F241+O241</f>
        <v>2000</v>
      </c>
      <c r="F241" s="189">
        <f>G241+K241+L241+J241+N241+M241</f>
        <v>2000</v>
      </c>
      <c r="G241" s="189">
        <f>H241+I241</f>
        <v>2000</v>
      </c>
      <c r="H241" s="190"/>
      <c r="I241" s="190">
        <v>2000</v>
      </c>
      <c r="J241" s="190"/>
      <c r="K241" s="190"/>
      <c r="L241" s="190"/>
      <c r="M241" s="190"/>
      <c r="N241" s="190"/>
      <c r="O241" s="190"/>
      <c r="P241" s="192"/>
      <c r="Q241" s="192"/>
      <c r="R241" s="190"/>
    </row>
    <row r="242" spans="1:18" ht="22.5" customHeight="1">
      <c r="A242" s="232"/>
      <c r="B242" s="232"/>
      <c r="C242" s="231">
        <v>4300</v>
      </c>
      <c r="D242" s="233" t="s">
        <v>269</v>
      </c>
      <c r="E242" s="189">
        <f>F242+O242</f>
        <v>32900</v>
      </c>
      <c r="F242" s="189">
        <f>G242+K242+L242+J242+N242+M242</f>
        <v>32900</v>
      </c>
      <c r="G242" s="189">
        <f>H242+I242</f>
        <v>32900</v>
      </c>
      <c r="H242" s="190"/>
      <c r="I242" s="190">
        <v>32900</v>
      </c>
      <c r="J242" s="190"/>
      <c r="K242" s="190"/>
      <c r="L242" s="190"/>
      <c r="M242" s="190"/>
      <c r="N242" s="190"/>
      <c r="O242" s="190"/>
      <c r="P242" s="192"/>
      <c r="Q242" s="192"/>
      <c r="R242" s="190"/>
    </row>
    <row r="243" spans="1:18" ht="22.5" customHeight="1">
      <c r="A243" s="232"/>
      <c r="B243" s="232"/>
      <c r="C243" s="231">
        <v>4350</v>
      </c>
      <c r="D243" s="233" t="s">
        <v>297</v>
      </c>
      <c r="E243" s="189">
        <f>F243+O243</f>
        <v>1000</v>
      </c>
      <c r="F243" s="189">
        <f>G243+K243+L243+J243+N243+M243</f>
        <v>1000</v>
      </c>
      <c r="G243" s="189">
        <f>H243+I243</f>
        <v>1000</v>
      </c>
      <c r="H243" s="190"/>
      <c r="I243" s="190">
        <v>1000</v>
      </c>
      <c r="J243" s="190"/>
      <c r="K243" s="190"/>
      <c r="L243" s="190"/>
      <c r="M243" s="190"/>
      <c r="N243" s="190"/>
      <c r="O243" s="190"/>
      <c r="P243" s="192"/>
      <c r="Q243" s="192"/>
      <c r="R243" s="190"/>
    </row>
    <row r="244" spans="1:18" ht="36.75" customHeight="1">
      <c r="A244" s="232"/>
      <c r="B244" s="232"/>
      <c r="C244" s="231">
        <v>4370</v>
      </c>
      <c r="D244" s="198" t="s">
        <v>332</v>
      </c>
      <c r="E244" s="189">
        <f>F244+O244</f>
        <v>6600</v>
      </c>
      <c r="F244" s="189">
        <f>G244+K244+L244+J244+N244+M244</f>
        <v>6600</v>
      </c>
      <c r="G244" s="189">
        <f>H244+I244</f>
        <v>6600</v>
      </c>
      <c r="H244" s="190"/>
      <c r="I244" s="190">
        <v>6600</v>
      </c>
      <c r="J244" s="190"/>
      <c r="K244" s="190"/>
      <c r="L244" s="190"/>
      <c r="M244" s="190"/>
      <c r="N244" s="190"/>
      <c r="O244" s="190"/>
      <c r="P244" s="192"/>
      <c r="Q244" s="192"/>
      <c r="R244" s="190"/>
    </row>
    <row r="245" spans="1:18" ht="22.5" customHeight="1">
      <c r="A245" s="232"/>
      <c r="B245" s="232"/>
      <c r="C245" s="231">
        <v>4410</v>
      </c>
      <c r="D245" s="233" t="s">
        <v>301</v>
      </c>
      <c r="E245" s="189">
        <f>F245+O245</f>
        <v>2500</v>
      </c>
      <c r="F245" s="189">
        <f>G245+K245+L245+J245+N245+M245</f>
        <v>2500</v>
      </c>
      <c r="G245" s="189">
        <f>H245+I245</f>
        <v>2500</v>
      </c>
      <c r="H245" s="190"/>
      <c r="I245" s="190">
        <v>2500</v>
      </c>
      <c r="J245" s="190"/>
      <c r="K245" s="190"/>
      <c r="L245" s="190"/>
      <c r="M245" s="190"/>
      <c r="N245" s="190"/>
      <c r="O245" s="190"/>
      <c r="P245" s="192"/>
      <c r="Q245" s="192"/>
      <c r="R245" s="190"/>
    </row>
    <row r="246" spans="1:18" ht="36.75" customHeight="1">
      <c r="A246" s="232"/>
      <c r="B246" s="232"/>
      <c r="C246" s="231">
        <v>4700</v>
      </c>
      <c r="D246" s="232" t="s">
        <v>374</v>
      </c>
      <c r="E246" s="189">
        <f>F246+O246</f>
        <v>0</v>
      </c>
      <c r="F246" s="189">
        <f>G246+K246+L246+J246+N246+M246</f>
        <v>0</v>
      </c>
      <c r="G246" s="189">
        <f>H246+I246</f>
        <v>0</v>
      </c>
      <c r="H246" s="190"/>
      <c r="I246" s="190">
        <v>0</v>
      </c>
      <c r="J246" s="190"/>
      <c r="K246" s="190"/>
      <c r="L246" s="190"/>
      <c r="M246" s="190"/>
      <c r="N246" s="190"/>
      <c r="O246" s="190"/>
      <c r="P246" s="192"/>
      <c r="Q246" s="192"/>
      <c r="R246" s="190"/>
    </row>
    <row r="247" spans="1:18" ht="22.5" customHeight="1">
      <c r="A247" s="181">
        <v>852</v>
      </c>
      <c r="B247" s="181"/>
      <c r="C247" s="181"/>
      <c r="D247" s="181" t="s">
        <v>234</v>
      </c>
      <c r="E247" s="182">
        <f>E250+E253+E257+E276+E288+E248+E255</f>
        <v>3549958.0036</v>
      </c>
      <c r="F247" s="182">
        <f>F250+F253+F257+F276+F288+F248+F255</f>
        <v>3549958.0036</v>
      </c>
      <c r="G247" s="182">
        <f>G250+G253+G257+G276+G288+G248+G255</f>
        <v>1656958.0036000002</v>
      </c>
      <c r="H247" s="182">
        <f>H250+H253+H257+H276+H288+H248+H255</f>
        <v>1168275.7536</v>
      </c>
      <c r="I247" s="182">
        <f>I250+I253+I257+I276+I288+I248+I255</f>
        <v>488682.25</v>
      </c>
      <c r="J247" s="182">
        <f>J250+J253+J257+J276+J288+J248+J255</f>
        <v>10000</v>
      </c>
      <c r="K247" s="182">
        <f>K250+K253+K257+K276+K288+K248+K255</f>
        <v>1883000</v>
      </c>
      <c r="L247" s="182">
        <f>L250+L253+L257+L276+L288+L248+L255</f>
        <v>0</v>
      </c>
      <c r="M247" s="182">
        <f>M250+M253+M257+M276+M288+M248+M255</f>
        <v>0</v>
      </c>
      <c r="N247" s="182">
        <f>N250+N253+N257+N276+N288+N248+N255</f>
        <v>0</v>
      </c>
      <c r="O247" s="182">
        <f>O250+O253+O257+O276+O288+O248+O255</f>
        <v>0</v>
      </c>
      <c r="P247" s="182">
        <f>P250+P253+P257+P276+P288+P248+P255</f>
        <v>0</v>
      </c>
      <c r="Q247" s="182">
        <f>Q250+Q253+Q257+Q276+Q288+Q248+Q255</f>
        <v>0</v>
      </c>
      <c r="R247" s="182">
        <f>R250+R253+R257+R276+R288+R248+R255</f>
        <v>0</v>
      </c>
    </row>
    <row r="248" spans="1:18" ht="55.5" customHeight="1">
      <c r="A248" s="196"/>
      <c r="B248" s="184">
        <v>85213</v>
      </c>
      <c r="C248" s="184"/>
      <c r="D248" s="199" t="s">
        <v>375</v>
      </c>
      <c r="E248" s="186">
        <f>E249</f>
        <v>54000</v>
      </c>
      <c r="F248" s="186">
        <f>F249</f>
        <v>54000</v>
      </c>
      <c r="G248" s="186">
        <f>G249</f>
        <v>54000</v>
      </c>
      <c r="H248" s="186">
        <f>H249</f>
        <v>0</v>
      </c>
      <c r="I248" s="186">
        <f>I249</f>
        <v>54000</v>
      </c>
      <c r="J248" s="186">
        <f>J249</f>
        <v>0</v>
      </c>
      <c r="K248" s="186">
        <f>K249</f>
        <v>0</v>
      </c>
      <c r="L248" s="186">
        <f>L249</f>
        <v>0</v>
      </c>
      <c r="M248" s="186">
        <f>M249</f>
        <v>0</v>
      </c>
      <c r="N248" s="186">
        <f>N249</f>
        <v>0</v>
      </c>
      <c r="O248" s="186">
        <f>O249</f>
        <v>0</v>
      </c>
      <c r="P248" s="186">
        <f>P249</f>
        <v>0</v>
      </c>
      <c r="Q248" s="186">
        <f>Q249</f>
        <v>0</v>
      </c>
      <c r="R248" s="186">
        <f>R249</f>
        <v>0</v>
      </c>
    </row>
    <row r="249" spans="1:18" ht="22.5" customHeight="1">
      <c r="A249" s="187"/>
      <c r="B249" s="188"/>
      <c r="C249" s="188">
        <v>4130</v>
      </c>
      <c r="D249" s="234" t="s">
        <v>376</v>
      </c>
      <c r="E249" s="189">
        <f>F249+O249</f>
        <v>54000</v>
      </c>
      <c r="F249" s="189">
        <f>G249+K249+L249+J249+N249+M249</f>
        <v>54000</v>
      </c>
      <c r="G249" s="189">
        <f>H249+I249</f>
        <v>54000</v>
      </c>
      <c r="H249" s="191"/>
      <c r="I249" s="191">
        <f>'zał 2'!E104</f>
        <v>54000</v>
      </c>
      <c r="J249" s="191"/>
      <c r="K249" s="191"/>
      <c r="L249" s="191"/>
      <c r="M249" s="191"/>
      <c r="N249" s="191"/>
      <c r="O249" s="191"/>
      <c r="P249" s="191"/>
      <c r="Q249" s="192"/>
      <c r="R249" s="190"/>
    </row>
    <row r="250" spans="1:18" ht="39" customHeight="1">
      <c r="A250" s="184"/>
      <c r="B250" s="184">
        <v>85214</v>
      </c>
      <c r="C250" s="184"/>
      <c r="D250" s="196" t="s">
        <v>377</v>
      </c>
      <c r="E250" s="186">
        <f>E251+E252</f>
        <v>784000</v>
      </c>
      <c r="F250" s="186">
        <f>F251+F252</f>
        <v>784000</v>
      </c>
      <c r="G250" s="186">
        <f>G251+G252</f>
        <v>270000</v>
      </c>
      <c r="H250" s="186">
        <f>H251+H252</f>
        <v>0</v>
      </c>
      <c r="I250" s="186">
        <f>I251+I252</f>
        <v>270000</v>
      </c>
      <c r="J250" s="186">
        <f>J251+J252</f>
        <v>0</v>
      </c>
      <c r="K250" s="186">
        <f>K251+K252</f>
        <v>514000</v>
      </c>
      <c r="L250" s="186">
        <f>L251+L252</f>
        <v>0</v>
      </c>
      <c r="M250" s="186">
        <f>M251+M252</f>
        <v>0</v>
      </c>
      <c r="N250" s="186">
        <f>N251+N252</f>
        <v>0</v>
      </c>
      <c r="O250" s="186">
        <f>T251+O252</f>
        <v>0</v>
      </c>
      <c r="P250" s="186">
        <f>P251+P252</f>
        <v>0</v>
      </c>
      <c r="Q250" s="186">
        <f>Q251+Q252</f>
        <v>0</v>
      </c>
      <c r="R250" s="186">
        <f>R251+R252</f>
        <v>0</v>
      </c>
    </row>
    <row r="251" spans="1:18" ht="22.5" customHeight="1">
      <c r="A251" s="184"/>
      <c r="B251" s="188"/>
      <c r="C251" s="188">
        <v>3110</v>
      </c>
      <c r="D251" s="187" t="s">
        <v>378</v>
      </c>
      <c r="E251" s="189">
        <f>F251+O251</f>
        <v>514000</v>
      </c>
      <c r="F251" s="189">
        <f>G251+K251+L251+J251+N251+M251</f>
        <v>514000</v>
      </c>
      <c r="G251" s="189">
        <f>H251+I251</f>
        <v>0</v>
      </c>
      <c r="H251" s="190"/>
      <c r="I251" s="190"/>
      <c r="J251" s="190"/>
      <c r="K251" s="191">
        <f>130000+'zał 2'!F106</f>
        <v>514000</v>
      </c>
      <c r="L251" s="190"/>
      <c r="M251" s="190"/>
      <c r="N251" s="201"/>
      <c r="O251" s="190"/>
      <c r="P251" s="192"/>
      <c r="Q251" s="192"/>
      <c r="R251" s="190"/>
    </row>
    <row r="252" spans="1:18" ht="22.5" customHeight="1">
      <c r="A252" s="184"/>
      <c r="B252" s="188"/>
      <c r="C252" s="188">
        <v>4330</v>
      </c>
      <c r="D252" s="187" t="s">
        <v>379</v>
      </c>
      <c r="E252" s="189">
        <f>F252+O252</f>
        <v>270000</v>
      </c>
      <c r="F252" s="189">
        <f>G252+K252+L252+J252+N252+M252</f>
        <v>270000</v>
      </c>
      <c r="G252" s="189">
        <f>H252+I252</f>
        <v>270000</v>
      </c>
      <c r="H252" s="190"/>
      <c r="I252" s="191">
        <v>270000</v>
      </c>
      <c r="J252" s="190"/>
      <c r="K252" s="190"/>
      <c r="L252" s="190"/>
      <c r="M252" s="190"/>
      <c r="N252" s="190"/>
      <c r="O252" s="190"/>
      <c r="P252" s="192"/>
      <c r="Q252" s="192"/>
      <c r="R252" s="190"/>
    </row>
    <row r="253" spans="1:18" ht="22.5" customHeight="1">
      <c r="A253" s="184"/>
      <c r="B253" s="184">
        <v>85215</v>
      </c>
      <c r="C253" s="184"/>
      <c r="D253" s="196" t="s">
        <v>380</v>
      </c>
      <c r="E253" s="186">
        <f>SUM(E254:E254)</f>
        <v>670000</v>
      </c>
      <c r="F253" s="186">
        <f>SUM(F254:F254)</f>
        <v>670000</v>
      </c>
      <c r="G253" s="186">
        <f>SUM(G254:G254)</f>
        <v>0</v>
      </c>
      <c r="H253" s="186">
        <f>SUM(H254:H254)</f>
        <v>0</v>
      </c>
      <c r="I253" s="186">
        <f>SUM(I254:I254)</f>
        <v>0</v>
      </c>
      <c r="J253" s="186">
        <f>SUM(J254:J254)</f>
        <v>0</v>
      </c>
      <c r="K253" s="186">
        <f>SUM(K254:K254)</f>
        <v>670000</v>
      </c>
      <c r="L253" s="186">
        <f>SUM(L254:L254)</f>
        <v>0</v>
      </c>
      <c r="M253" s="186">
        <f>SUM(M254:M254)</f>
        <v>0</v>
      </c>
      <c r="N253" s="186">
        <f>SUM(N254:N254)</f>
        <v>0</v>
      </c>
      <c r="O253" s="186">
        <f>SUM(O254:O254)</f>
        <v>0</v>
      </c>
      <c r="P253" s="186">
        <f>SUM(P254:P254)</f>
        <v>0</v>
      </c>
      <c r="Q253" s="186">
        <f>SUM(Q254:Q254)</f>
        <v>0</v>
      </c>
      <c r="R253" s="186">
        <f>SUM(R254:R254)</f>
        <v>0</v>
      </c>
    </row>
    <row r="254" spans="1:18" ht="22.5" customHeight="1">
      <c r="A254" s="184"/>
      <c r="B254" s="188"/>
      <c r="C254" s="188">
        <v>3110</v>
      </c>
      <c r="D254" s="187" t="s">
        <v>381</v>
      </c>
      <c r="E254" s="189">
        <f>F254+O254</f>
        <v>670000</v>
      </c>
      <c r="F254" s="189">
        <f>G254+K254+L254+J254+N254+M254</f>
        <v>670000</v>
      </c>
      <c r="G254" s="189">
        <f>H254+I254</f>
        <v>0</v>
      </c>
      <c r="H254" s="190"/>
      <c r="I254" s="190"/>
      <c r="J254" s="190"/>
      <c r="K254" s="191">
        <v>670000</v>
      </c>
      <c r="L254" s="190"/>
      <c r="M254" s="190"/>
      <c r="N254" s="201"/>
      <c r="O254" s="190"/>
      <c r="P254" s="192"/>
      <c r="Q254" s="192"/>
      <c r="R254" s="190"/>
    </row>
    <row r="255" spans="1:18" s="167" customFormat="1" ht="22.5" customHeight="1">
      <c r="A255" s="184"/>
      <c r="B255" s="184">
        <v>85216</v>
      </c>
      <c r="C255" s="184"/>
      <c r="D255" s="199" t="s">
        <v>201</v>
      </c>
      <c r="E255" s="186">
        <f>E256</f>
        <v>414000</v>
      </c>
      <c r="F255" s="186">
        <f>F256</f>
        <v>414000</v>
      </c>
      <c r="G255" s="186">
        <f>G256</f>
        <v>0</v>
      </c>
      <c r="H255" s="186">
        <f>H256</f>
        <v>0</v>
      </c>
      <c r="I255" s="186">
        <f>I256</f>
        <v>0</v>
      </c>
      <c r="J255" s="186">
        <f>J256</f>
        <v>0</v>
      </c>
      <c r="K255" s="186">
        <f>K256</f>
        <v>414000</v>
      </c>
      <c r="L255" s="186">
        <f>L256</f>
        <v>0</v>
      </c>
      <c r="M255" s="186">
        <f>M256</f>
        <v>0</v>
      </c>
      <c r="N255" s="186">
        <f>N256</f>
        <v>0</v>
      </c>
      <c r="O255" s="186">
        <f>O256</f>
        <v>0</v>
      </c>
      <c r="P255" s="186">
        <f>P256</f>
        <v>0</v>
      </c>
      <c r="Q255" s="186">
        <f>Q256</f>
        <v>0</v>
      </c>
      <c r="R255" s="186">
        <f>R256</f>
        <v>0</v>
      </c>
    </row>
    <row r="256" spans="1:18" ht="22.5" customHeight="1">
      <c r="A256" s="188"/>
      <c r="B256" s="188"/>
      <c r="C256" s="188">
        <v>3110</v>
      </c>
      <c r="D256" s="187" t="s">
        <v>381</v>
      </c>
      <c r="E256" s="189">
        <f>F256+O256</f>
        <v>414000</v>
      </c>
      <c r="F256" s="189">
        <f>G256+K256+L256+J256+N256+M256</f>
        <v>414000</v>
      </c>
      <c r="G256" s="189">
        <f>H256+I256</f>
        <v>0</v>
      </c>
      <c r="H256" s="190"/>
      <c r="I256" s="190"/>
      <c r="J256" s="190"/>
      <c r="K256" s="190">
        <f>'zał 2'!E108</f>
        <v>414000</v>
      </c>
      <c r="L256" s="190"/>
      <c r="M256" s="190"/>
      <c r="N256" s="190"/>
      <c r="O256" s="190"/>
      <c r="P256" s="192"/>
      <c r="Q256" s="192"/>
      <c r="R256" s="190"/>
    </row>
    <row r="257" spans="1:18" ht="22.5" customHeight="1">
      <c r="A257" s="184"/>
      <c r="B257" s="184">
        <v>85219</v>
      </c>
      <c r="C257" s="184"/>
      <c r="D257" s="196" t="s">
        <v>382</v>
      </c>
      <c r="E257" s="186">
        <f>SUM(E258:E275)</f>
        <v>1019706.245</v>
      </c>
      <c r="F257" s="186">
        <f>SUM(F258:F275)</f>
        <v>1019706.245</v>
      </c>
      <c r="G257" s="186">
        <f>SUM(G258:G275)</f>
        <v>1019706.245</v>
      </c>
      <c r="H257" s="186">
        <f>SUM(H258:H275)</f>
        <v>875650.12</v>
      </c>
      <c r="I257" s="186">
        <f>SUM(I258:I275)</f>
        <v>144056.125</v>
      </c>
      <c r="J257" s="186">
        <f>SUM(J258:J275)</f>
        <v>0</v>
      </c>
      <c r="K257" s="186">
        <f>SUM(K258:K275)</f>
        <v>0</v>
      </c>
      <c r="L257" s="186">
        <f>SUM(L258:L275)</f>
        <v>0</v>
      </c>
      <c r="M257" s="186">
        <f>SUM(M258:M275)</f>
        <v>0</v>
      </c>
      <c r="N257" s="186">
        <f>SUM(N258:N275)</f>
        <v>0</v>
      </c>
      <c r="O257" s="186">
        <f>SUM(O258:O275)</f>
        <v>0</v>
      </c>
      <c r="P257" s="186">
        <f>SUM(P258:P275)</f>
        <v>0</v>
      </c>
      <c r="Q257" s="186">
        <f>SUM(Q258:Q275)</f>
        <v>0</v>
      </c>
      <c r="R257" s="186">
        <f>SUM(R258:R275)</f>
        <v>0</v>
      </c>
    </row>
    <row r="258" spans="1:18" ht="22.5" customHeight="1">
      <c r="A258" s="188"/>
      <c r="B258" s="188"/>
      <c r="C258" s="188">
        <v>4010</v>
      </c>
      <c r="D258" s="234" t="s">
        <v>328</v>
      </c>
      <c r="E258" s="189">
        <f>F258+O258</f>
        <v>685200</v>
      </c>
      <c r="F258" s="189">
        <f>G258+K258+L258+J258+N258+M258</f>
        <v>685200</v>
      </c>
      <c r="G258" s="189">
        <f>H258+I258</f>
        <v>685200</v>
      </c>
      <c r="H258" s="191">
        <v>685200</v>
      </c>
      <c r="I258" s="190"/>
      <c r="J258" s="190"/>
      <c r="K258" s="190"/>
      <c r="L258" s="190"/>
      <c r="M258" s="190"/>
      <c r="N258" s="190"/>
      <c r="O258" s="190"/>
      <c r="P258" s="192"/>
      <c r="Q258" s="192"/>
      <c r="R258" s="190"/>
    </row>
    <row r="259" spans="1:18" ht="22.5" customHeight="1">
      <c r="A259" s="188"/>
      <c r="B259" s="188"/>
      <c r="C259" s="188">
        <v>4040</v>
      </c>
      <c r="D259" s="234" t="s">
        <v>288</v>
      </c>
      <c r="E259" s="189">
        <f>F259+O259</f>
        <v>49500</v>
      </c>
      <c r="F259" s="189">
        <f>G259+K259+L259+J259+N259+M259</f>
        <v>49500</v>
      </c>
      <c r="G259" s="189">
        <f>H259+I259</f>
        <v>49500</v>
      </c>
      <c r="H259" s="191">
        <v>49500</v>
      </c>
      <c r="I259" s="190"/>
      <c r="J259" s="190"/>
      <c r="K259" s="190"/>
      <c r="L259" s="190"/>
      <c r="M259" s="190"/>
      <c r="N259" s="190"/>
      <c r="O259" s="190"/>
      <c r="P259" s="192"/>
      <c r="Q259" s="192"/>
      <c r="R259" s="190"/>
    </row>
    <row r="260" spans="1:18" ht="22.5" customHeight="1">
      <c r="A260" s="188"/>
      <c r="B260" s="188"/>
      <c r="C260" s="188">
        <v>4110</v>
      </c>
      <c r="D260" s="234" t="s">
        <v>289</v>
      </c>
      <c r="E260" s="189">
        <f>F260+O260</f>
        <v>113949.97</v>
      </c>
      <c r="F260" s="189">
        <f>G260+K260+L260+J260+N260+M260</f>
        <v>113949.97</v>
      </c>
      <c r="G260" s="189">
        <f>H260+I260</f>
        <v>113949.97</v>
      </c>
      <c r="H260" s="191">
        <f>G258*0.1551+G259*0.1551-2</f>
        <v>113949.97</v>
      </c>
      <c r="I260" s="191"/>
      <c r="J260" s="191"/>
      <c r="K260" s="191"/>
      <c r="L260" s="191"/>
      <c r="M260" s="190"/>
      <c r="N260" s="190"/>
      <c r="O260" s="190"/>
      <c r="P260" s="192"/>
      <c r="Q260" s="192"/>
      <c r="R260" s="190"/>
    </row>
    <row r="261" spans="1:18" ht="22.5" customHeight="1">
      <c r="A261" s="188"/>
      <c r="B261" s="188"/>
      <c r="C261" s="188">
        <v>4120</v>
      </c>
      <c r="D261" s="234" t="s">
        <v>290</v>
      </c>
      <c r="E261" s="189">
        <f>F261+O261</f>
        <v>18000.15</v>
      </c>
      <c r="F261" s="189">
        <f>G261+K261+L261+J261+N261+M261</f>
        <v>18000.15</v>
      </c>
      <c r="G261" s="189">
        <f>H261+I261</f>
        <v>18000.15</v>
      </c>
      <c r="H261" s="191">
        <f>(G258+G259)*0.0245</f>
        <v>18000.15</v>
      </c>
      <c r="I261" s="191"/>
      <c r="J261" s="191"/>
      <c r="K261" s="191"/>
      <c r="L261" s="191"/>
      <c r="M261" s="190"/>
      <c r="N261" s="190"/>
      <c r="O261" s="190"/>
      <c r="P261" s="192"/>
      <c r="Q261" s="192"/>
      <c r="R261" s="190"/>
    </row>
    <row r="262" spans="1:18" ht="22.5" customHeight="1">
      <c r="A262" s="188"/>
      <c r="B262" s="188"/>
      <c r="C262" s="188">
        <v>4170</v>
      </c>
      <c r="D262" s="234" t="s">
        <v>383</v>
      </c>
      <c r="E262" s="189">
        <f>F262+O262</f>
        <v>9000</v>
      </c>
      <c r="F262" s="189">
        <f>G262+K262+L262+J262+N262+M262</f>
        <v>9000</v>
      </c>
      <c r="G262" s="189">
        <f>H262+I262</f>
        <v>9000</v>
      </c>
      <c r="H262" s="190">
        <v>9000</v>
      </c>
      <c r="I262" s="190"/>
      <c r="J262" s="190"/>
      <c r="K262" s="190"/>
      <c r="L262" s="190"/>
      <c r="M262" s="190"/>
      <c r="N262" s="190"/>
      <c r="O262" s="190"/>
      <c r="P262" s="192"/>
      <c r="Q262" s="192"/>
      <c r="R262" s="190"/>
    </row>
    <row r="263" spans="1:18" ht="22.5" customHeight="1">
      <c r="A263" s="188"/>
      <c r="B263" s="188"/>
      <c r="C263" s="188">
        <v>4210</v>
      </c>
      <c r="D263" s="234" t="s">
        <v>339</v>
      </c>
      <c r="E263" s="189">
        <f>F263+O263</f>
        <v>44300</v>
      </c>
      <c r="F263" s="189">
        <f>G263+K263+L263+J263+N263+M263</f>
        <v>44300</v>
      </c>
      <c r="G263" s="189">
        <f>H263+I263</f>
        <v>44300</v>
      </c>
      <c r="H263" s="190"/>
      <c r="I263" s="191">
        <v>44300</v>
      </c>
      <c r="J263" s="191"/>
      <c r="K263" s="191"/>
      <c r="L263" s="191"/>
      <c r="M263" s="190"/>
      <c r="N263" s="190"/>
      <c r="O263" s="190"/>
      <c r="P263" s="192"/>
      <c r="Q263" s="192"/>
      <c r="R263" s="190"/>
    </row>
    <row r="264" spans="1:18" ht="22.5" customHeight="1">
      <c r="A264" s="188"/>
      <c r="B264" s="188"/>
      <c r="C264" s="188">
        <v>4260</v>
      </c>
      <c r="D264" s="234" t="s">
        <v>330</v>
      </c>
      <c r="E264" s="189">
        <f>F264+O264</f>
        <v>20800</v>
      </c>
      <c r="F264" s="189">
        <f>G264+K264+L264+J264+N264+M264</f>
        <v>20800</v>
      </c>
      <c r="G264" s="189">
        <f>H264+I264</f>
        <v>20800</v>
      </c>
      <c r="H264" s="190"/>
      <c r="I264" s="191">
        <v>20800</v>
      </c>
      <c r="J264" s="191"/>
      <c r="K264" s="191"/>
      <c r="L264" s="191"/>
      <c r="M264" s="190"/>
      <c r="N264" s="190"/>
      <c r="O264" s="190"/>
      <c r="P264" s="192"/>
      <c r="Q264" s="192"/>
      <c r="R264" s="190"/>
    </row>
    <row r="265" spans="1:18" ht="22.5" customHeight="1">
      <c r="A265" s="188"/>
      <c r="B265" s="188"/>
      <c r="C265" s="188">
        <v>4270</v>
      </c>
      <c r="D265" s="234" t="s">
        <v>275</v>
      </c>
      <c r="E265" s="189">
        <f>F265+O265</f>
        <v>5000</v>
      </c>
      <c r="F265" s="189">
        <f>G265+K265+L265+J265+N265+M265</f>
        <v>5000</v>
      </c>
      <c r="G265" s="189">
        <f>H265+I265</f>
        <v>5000</v>
      </c>
      <c r="H265" s="190"/>
      <c r="I265" s="191">
        <v>5000</v>
      </c>
      <c r="J265" s="191"/>
      <c r="K265" s="191"/>
      <c r="L265" s="191"/>
      <c r="M265" s="190"/>
      <c r="N265" s="190"/>
      <c r="O265" s="190"/>
      <c r="P265" s="192"/>
      <c r="Q265" s="192"/>
      <c r="R265" s="190"/>
    </row>
    <row r="266" spans="1:18" ht="22.5" customHeight="1">
      <c r="A266" s="188"/>
      <c r="B266" s="188"/>
      <c r="C266" s="188">
        <v>4280</v>
      </c>
      <c r="D266" s="200" t="s">
        <v>331</v>
      </c>
      <c r="E266" s="189">
        <f>F266+O266</f>
        <v>500</v>
      </c>
      <c r="F266" s="189">
        <f>G266+K266+L266+J266+N266+M266</f>
        <v>500</v>
      </c>
      <c r="G266" s="189">
        <f>H266+I266</f>
        <v>500</v>
      </c>
      <c r="H266" s="190"/>
      <c r="I266" s="191">
        <v>500</v>
      </c>
      <c r="J266" s="191"/>
      <c r="K266" s="191"/>
      <c r="L266" s="191"/>
      <c r="M266" s="190"/>
      <c r="N266" s="190"/>
      <c r="O266" s="190"/>
      <c r="P266" s="192"/>
      <c r="Q266" s="192"/>
      <c r="R266" s="190"/>
    </row>
    <row r="267" spans="1:18" ht="22.5" customHeight="1">
      <c r="A267" s="188"/>
      <c r="B267" s="188"/>
      <c r="C267" s="188">
        <v>4300</v>
      </c>
      <c r="D267" s="234" t="s">
        <v>269</v>
      </c>
      <c r="E267" s="189">
        <f>F267+O267</f>
        <v>30000</v>
      </c>
      <c r="F267" s="189">
        <f>G267+K267+L267+J267+N267+M267</f>
        <v>30000</v>
      </c>
      <c r="G267" s="189">
        <f>H267+I267</f>
        <v>30000</v>
      </c>
      <c r="H267" s="190"/>
      <c r="I267" s="191">
        <v>30000</v>
      </c>
      <c r="J267" s="191"/>
      <c r="K267" s="191"/>
      <c r="L267" s="191"/>
      <c r="M267" s="190"/>
      <c r="N267" s="190"/>
      <c r="O267" s="190"/>
      <c r="P267" s="192"/>
      <c r="Q267" s="192"/>
      <c r="R267" s="190"/>
    </row>
    <row r="268" spans="1:18" ht="22.5" customHeight="1">
      <c r="A268" s="188"/>
      <c r="B268" s="188"/>
      <c r="C268" s="188">
        <v>4350</v>
      </c>
      <c r="D268" s="234" t="s">
        <v>297</v>
      </c>
      <c r="E268" s="189">
        <f>F268+O268</f>
        <v>1800</v>
      </c>
      <c r="F268" s="189">
        <f>G268+K268+L268+J268+N268+M268</f>
        <v>1800</v>
      </c>
      <c r="G268" s="189">
        <f>H268+I268</f>
        <v>1800</v>
      </c>
      <c r="H268" s="190"/>
      <c r="I268" s="191">
        <v>1800</v>
      </c>
      <c r="J268" s="191"/>
      <c r="K268" s="191"/>
      <c r="L268" s="191"/>
      <c r="M268" s="190"/>
      <c r="N268" s="190"/>
      <c r="O268" s="190"/>
      <c r="P268" s="192"/>
      <c r="Q268" s="192"/>
      <c r="R268" s="190"/>
    </row>
    <row r="269" spans="1:18" ht="36.75" customHeight="1">
      <c r="A269" s="188"/>
      <c r="B269" s="188"/>
      <c r="C269" s="188">
        <v>4360</v>
      </c>
      <c r="D269" s="234" t="s">
        <v>384</v>
      </c>
      <c r="E269" s="189">
        <f>F269+O269</f>
        <v>1600</v>
      </c>
      <c r="F269" s="189">
        <f>G269+K269+L269+J269+N269+M269</f>
        <v>1600</v>
      </c>
      <c r="G269" s="189">
        <f>H269+I269</f>
        <v>1600</v>
      </c>
      <c r="H269" s="190"/>
      <c r="I269" s="191">
        <v>1600</v>
      </c>
      <c r="J269" s="191"/>
      <c r="K269" s="191"/>
      <c r="L269" s="191"/>
      <c r="M269" s="190"/>
      <c r="N269" s="190"/>
      <c r="O269" s="190"/>
      <c r="P269" s="192"/>
      <c r="Q269" s="192"/>
      <c r="R269" s="190"/>
    </row>
    <row r="270" spans="1:18" ht="36.75" customHeight="1">
      <c r="A270" s="188"/>
      <c r="B270" s="188"/>
      <c r="C270" s="188">
        <v>4370</v>
      </c>
      <c r="D270" s="234" t="s">
        <v>385</v>
      </c>
      <c r="E270" s="189">
        <f>F270+O270</f>
        <v>2000</v>
      </c>
      <c r="F270" s="189">
        <f>G270+K270+L270+J270+N270+M270</f>
        <v>2000</v>
      </c>
      <c r="G270" s="189">
        <f>H270+I270</f>
        <v>2000</v>
      </c>
      <c r="H270" s="190"/>
      <c r="I270" s="191">
        <v>2000</v>
      </c>
      <c r="J270" s="191"/>
      <c r="K270" s="191"/>
      <c r="L270" s="191"/>
      <c r="M270" s="190"/>
      <c r="N270" s="190"/>
      <c r="O270" s="190"/>
      <c r="P270" s="192"/>
      <c r="Q270" s="192"/>
      <c r="R270" s="190"/>
    </row>
    <row r="271" spans="1:18" ht="22.5" customHeight="1">
      <c r="A271" s="188"/>
      <c r="B271" s="188"/>
      <c r="C271" s="188">
        <v>4410</v>
      </c>
      <c r="D271" s="234" t="s">
        <v>353</v>
      </c>
      <c r="E271" s="189">
        <f>F271+O271</f>
        <v>3000</v>
      </c>
      <c r="F271" s="189">
        <f>G271+K271+L271+J271+N271+M271</f>
        <v>3000</v>
      </c>
      <c r="G271" s="189">
        <f>H271+I271</f>
        <v>3000</v>
      </c>
      <c r="H271" s="190"/>
      <c r="I271" s="191">
        <v>3000</v>
      </c>
      <c r="J271" s="191"/>
      <c r="K271" s="191"/>
      <c r="L271" s="191"/>
      <c r="M271" s="190"/>
      <c r="N271" s="190"/>
      <c r="O271" s="190"/>
      <c r="P271" s="192"/>
      <c r="Q271" s="192"/>
      <c r="R271" s="190"/>
    </row>
    <row r="272" spans="1:18" ht="22.5" customHeight="1">
      <c r="A272" s="188"/>
      <c r="B272" s="188"/>
      <c r="C272" s="188">
        <v>4430</v>
      </c>
      <c r="D272" s="234" t="s">
        <v>277</v>
      </c>
      <c r="E272" s="189">
        <f>F272+O272</f>
        <v>5000</v>
      </c>
      <c r="F272" s="189">
        <f>G272+K272+L272+J272+N272+M272</f>
        <v>5000</v>
      </c>
      <c r="G272" s="189">
        <f>H272+I272</f>
        <v>5000</v>
      </c>
      <c r="H272" s="190"/>
      <c r="I272" s="191">
        <v>5000</v>
      </c>
      <c r="J272" s="191"/>
      <c r="K272" s="191"/>
      <c r="L272" s="191"/>
      <c r="M272" s="190"/>
      <c r="N272" s="190"/>
      <c r="O272" s="190"/>
      <c r="P272" s="192"/>
      <c r="Q272" s="192"/>
      <c r="R272" s="190"/>
    </row>
    <row r="273" spans="1:18" ht="36.75" customHeight="1">
      <c r="A273" s="188"/>
      <c r="B273" s="188"/>
      <c r="C273" s="188">
        <v>4440</v>
      </c>
      <c r="D273" s="234" t="s">
        <v>334</v>
      </c>
      <c r="E273" s="189">
        <f>F273+O273</f>
        <v>23056.125</v>
      </c>
      <c r="F273" s="189">
        <f>G273+K273+L273+J273+N273+M273</f>
        <v>23056.125</v>
      </c>
      <c r="G273" s="189">
        <f>H273+I273</f>
        <v>23056.125</v>
      </c>
      <c r="H273" s="190"/>
      <c r="I273" s="191">
        <f>21*1048+6*0.0625*2795</f>
        <v>23056.125</v>
      </c>
      <c r="J273" s="191"/>
      <c r="K273" s="191"/>
      <c r="L273" s="191"/>
      <c r="M273" s="190"/>
      <c r="N273" s="190"/>
      <c r="O273" s="190"/>
      <c r="P273" s="192"/>
      <c r="Q273" s="192"/>
      <c r="R273" s="190"/>
    </row>
    <row r="274" spans="1:18" ht="22.5" customHeight="1">
      <c r="A274" s="204"/>
      <c r="B274" s="204"/>
      <c r="C274" s="205">
        <v>4480</v>
      </c>
      <c r="D274" s="206" t="s">
        <v>335</v>
      </c>
      <c r="E274" s="189">
        <f>F274+O274</f>
        <v>5000</v>
      </c>
      <c r="F274" s="189">
        <f>G274+K274+L274+J274+N274+M274</f>
        <v>5000</v>
      </c>
      <c r="G274" s="189">
        <f>H274+I274</f>
        <v>5000</v>
      </c>
      <c r="H274" s="191">
        <f>'zał 15'!H171+'zał 16'!H169+'zał 17'!H171</f>
        <v>0</v>
      </c>
      <c r="I274" s="191">
        <v>5000</v>
      </c>
      <c r="J274" s="191">
        <f>'zał 15'!J171+'zał 16'!J169+'zał 17'!J171</f>
        <v>0</v>
      </c>
      <c r="K274" s="191">
        <f>'zał 15'!K171+'zał 16'!K169+'zał 17'!K171</f>
        <v>0</v>
      </c>
      <c r="L274" s="191"/>
      <c r="M274" s="190"/>
      <c r="N274" s="190"/>
      <c r="O274" s="190"/>
      <c r="P274" s="192"/>
      <c r="Q274" s="192"/>
      <c r="R274" s="190"/>
    </row>
    <row r="275" spans="1:18" ht="36.75" customHeight="1">
      <c r="A275" s="188"/>
      <c r="B275" s="188"/>
      <c r="C275" s="188">
        <v>4700</v>
      </c>
      <c r="D275" s="234" t="s">
        <v>374</v>
      </c>
      <c r="E275" s="189">
        <f>F275+O275</f>
        <v>2000</v>
      </c>
      <c r="F275" s="189">
        <f>G275+K275+L275+J275+N275+M275</f>
        <v>2000</v>
      </c>
      <c r="G275" s="189">
        <f>H275+I275</f>
        <v>2000</v>
      </c>
      <c r="H275" s="190"/>
      <c r="I275" s="191">
        <v>2000</v>
      </c>
      <c r="J275" s="191"/>
      <c r="K275" s="191"/>
      <c r="L275" s="191"/>
      <c r="M275" s="190"/>
      <c r="N275" s="190"/>
      <c r="O275" s="190"/>
      <c r="P275" s="192"/>
      <c r="Q275" s="192"/>
      <c r="R275" s="190"/>
    </row>
    <row r="276" spans="1:18" ht="39" customHeight="1">
      <c r="A276" s="184"/>
      <c r="B276" s="184">
        <v>85228</v>
      </c>
      <c r="C276" s="184"/>
      <c r="D276" s="185" t="s">
        <v>205</v>
      </c>
      <c r="E276" s="186">
        <f>SUM(E277:E287)</f>
        <v>309251.7586</v>
      </c>
      <c r="F276" s="186">
        <f>SUM(F277:F287)</f>
        <v>309251.7586</v>
      </c>
      <c r="G276" s="186">
        <f>SUM(G277:G287)</f>
        <v>309251.7586</v>
      </c>
      <c r="H276" s="186">
        <f>SUM(H277:H287)</f>
        <v>292625.6336</v>
      </c>
      <c r="I276" s="186">
        <f>SUM(I277:I287)</f>
        <v>16626.125</v>
      </c>
      <c r="J276" s="186">
        <f>SUM(J277:J287)</f>
        <v>0</v>
      </c>
      <c r="K276" s="186">
        <f>SUM(K277:K287)</f>
        <v>0</v>
      </c>
      <c r="L276" s="186">
        <f>SUM(L277:L287)</f>
        <v>0</v>
      </c>
      <c r="M276" s="186">
        <f>SUM(M277:M287)</f>
        <v>0</v>
      </c>
      <c r="N276" s="186">
        <f>SUM(N277:N287)</f>
        <v>0</v>
      </c>
      <c r="O276" s="186">
        <f>SUM(O277:O287)</f>
        <v>0</v>
      </c>
      <c r="P276" s="186">
        <f>SUM(P277:P287)</f>
        <v>0</v>
      </c>
      <c r="Q276" s="186">
        <f>SUM(Q277:Q287)</f>
        <v>0</v>
      </c>
      <c r="R276" s="186">
        <f>SUM(R277:R287)</f>
        <v>0</v>
      </c>
    </row>
    <row r="277" spans="1:18" ht="22.5" customHeight="1">
      <c r="A277" s="188"/>
      <c r="B277" s="188"/>
      <c r="C277" s="188">
        <v>4010</v>
      </c>
      <c r="D277" s="200" t="s">
        <v>287</v>
      </c>
      <c r="E277" s="189">
        <f>F277+O277</f>
        <v>228942</v>
      </c>
      <c r="F277" s="189">
        <f>G277+K277+L277+J277+N277+M277</f>
        <v>228942</v>
      </c>
      <c r="G277" s="189">
        <f>H277+I277</f>
        <v>228942</v>
      </c>
      <c r="H277" s="191">
        <f>198942+30000</f>
        <v>228942</v>
      </c>
      <c r="I277" s="190"/>
      <c r="J277" s="190"/>
      <c r="K277" s="190"/>
      <c r="L277" s="190"/>
      <c r="M277" s="190"/>
      <c r="N277" s="190"/>
      <c r="O277" s="190"/>
      <c r="P277" s="192"/>
      <c r="Q277" s="192"/>
      <c r="R277" s="190"/>
    </row>
    <row r="278" spans="1:18" ht="22.5" customHeight="1">
      <c r="A278" s="188"/>
      <c r="B278" s="188"/>
      <c r="C278" s="188">
        <v>4040</v>
      </c>
      <c r="D278" s="200" t="s">
        <v>288</v>
      </c>
      <c r="E278" s="189">
        <f>F278+O278</f>
        <v>13086.6</v>
      </c>
      <c r="F278" s="189">
        <f>G278+K278+L278+J278+N278+M278</f>
        <v>13086.6</v>
      </c>
      <c r="G278" s="189">
        <f>H278+I278</f>
        <v>13086.6</v>
      </c>
      <c r="H278" s="191">
        <f>153960*0.085</f>
        <v>13086.6</v>
      </c>
      <c r="I278" s="190"/>
      <c r="J278" s="190"/>
      <c r="K278" s="190"/>
      <c r="L278" s="190"/>
      <c r="M278" s="190"/>
      <c r="N278" s="190"/>
      <c r="O278" s="190"/>
      <c r="P278" s="192"/>
      <c r="Q278" s="192"/>
      <c r="R278" s="190"/>
    </row>
    <row r="279" spans="1:18" ht="22.5" customHeight="1">
      <c r="A279" s="188"/>
      <c r="B279" s="188"/>
      <c r="C279" s="188">
        <v>4110</v>
      </c>
      <c r="D279" s="200" t="s">
        <v>289</v>
      </c>
      <c r="E279" s="189">
        <f>F279+O279</f>
        <v>36546.3186</v>
      </c>
      <c r="F279" s="189">
        <f>G279+K279+L279+J279+N279+M279</f>
        <v>36546.3186</v>
      </c>
      <c r="G279" s="189">
        <f>H279+I279</f>
        <v>36546.3186</v>
      </c>
      <c r="H279" s="191">
        <f>G277*0.151+G278*0.151</f>
        <v>36546.3186</v>
      </c>
      <c r="I279" s="191"/>
      <c r="J279" s="191"/>
      <c r="K279" s="191"/>
      <c r="L279" s="191"/>
      <c r="M279" s="190"/>
      <c r="N279" s="190"/>
      <c r="O279" s="190"/>
      <c r="P279" s="192"/>
      <c r="Q279" s="192"/>
      <c r="R279" s="190"/>
    </row>
    <row r="280" spans="1:18" ht="22.5" customHeight="1">
      <c r="A280" s="188"/>
      <c r="B280" s="188"/>
      <c r="C280" s="188">
        <v>4120</v>
      </c>
      <c r="D280" s="200" t="s">
        <v>290</v>
      </c>
      <c r="E280" s="189">
        <f>F280+O280</f>
        <v>6050.715</v>
      </c>
      <c r="F280" s="189">
        <f>G280+K280+L280+J280+N280+M280</f>
        <v>6050.715</v>
      </c>
      <c r="G280" s="189">
        <f>H280+I280</f>
        <v>6050.715</v>
      </c>
      <c r="H280" s="191">
        <f>G277*0.025+G278*0.025</f>
        <v>6050.715</v>
      </c>
      <c r="I280" s="191"/>
      <c r="J280" s="191"/>
      <c r="K280" s="191"/>
      <c r="L280" s="191"/>
      <c r="M280" s="190"/>
      <c r="N280" s="190"/>
      <c r="O280" s="190"/>
      <c r="P280" s="192"/>
      <c r="Q280" s="192"/>
      <c r="R280" s="190"/>
    </row>
    <row r="281" spans="1:18" ht="22.5" customHeight="1">
      <c r="A281" s="188"/>
      <c r="B281" s="188"/>
      <c r="C281" s="188">
        <v>4170</v>
      </c>
      <c r="D281" s="200" t="s">
        <v>292</v>
      </c>
      <c r="E281" s="189">
        <f>F281+O281</f>
        <v>8000</v>
      </c>
      <c r="F281" s="189">
        <f>G281+K281+L281+J281+N281+M281</f>
        <v>8000</v>
      </c>
      <c r="G281" s="189">
        <f>H281+I281</f>
        <v>8000</v>
      </c>
      <c r="H281" s="191">
        <v>8000</v>
      </c>
      <c r="I281" s="190"/>
      <c r="J281" s="190"/>
      <c r="K281" s="190"/>
      <c r="L281" s="190"/>
      <c r="M281" s="190"/>
      <c r="N281" s="190"/>
      <c r="O281" s="190"/>
      <c r="P281" s="192"/>
      <c r="Q281" s="192"/>
      <c r="R281" s="190"/>
    </row>
    <row r="282" spans="1:18" ht="22.5" customHeight="1">
      <c r="A282" s="188"/>
      <c r="B282" s="188"/>
      <c r="C282" s="188">
        <v>4210</v>
      </c>
      <c r="D282" s="200" t="s">
        <v>273</v>
      </c>
      <c r="E282" s="189">
        <f>F282+O282</f>
        <v>600</v>
      </c>
      <c r="F282" s="189">
        <f>G282+K282+L282+J282+N282+M282</f>
        <v>600</v>
      </c>
      <c r="G282" s="189">
        <f>H282+I282</f>
        <v>600</v>
      </c>
      <c r="H282" s="190"/>
      <c r="I282" s="191">
        <v>600</v>
      </c>
      <c r="J282" s="190"/>
      <c r="K282" s="190"/>
      <c r="L282" s="190"/>
      <c r="M282" s="190"/>
      <c r="N282" s="190"/>
      <c r="O282" s="190"/>
      <c r="P282" s="192"/>
      <c r="Q282" s="192"/>
      <c r="R282" s="190"/>
    </row>
    <row r="283" spans="1:18" ht="22.5" customHeight="1">
      <c r="A283" s="188"/>
      <c r="B283" s="188"/>
      <c r="C283" s="188">
        <v>4280</v>
      </c>
      <c r="D283" s="200" t="s">
        <v>331</v>
      </c>
      <c r="E283" s="189">
        <f>F283+O283</f>
        <v>600</v>
      </c>
      <c r="F283" s="189">
        <f>G283+K283+L283+J283+N283+M283</f>
        <v>600</v>
      </c>
      <c r="G283" s="189">
        <f>H283+I283</f>
        <v>600</v>
      </c>
      <c r="H283" s="190"/>
      <c r="I283" s="191">
        <v>600</v>
      </c>
      <c r="J283" s="190"/>
      <c r="K283" s="190"/>
      <c r="L283" s="190"/>
      <c r="M283" s="190"/>
      <c r="N283" s="190"/>
      <c r="O283" s="190"/>
      <c r="P283" s="192"/>
      <c r="Q283" s="192"/>
      <c r="R283" s="190"/>
    </row>
    <row r="284" spans="1:18" ht="22.5" customHeight="1">
      <c r="A284" s="188"/>
      <c r="B284" s="188"/>
      <c r="C284" s="188">
        <v>4300</v>
      </c>
      <c r="D284" s="200" t="s">
        <v>350</v>
      </c>
      <c r="E284" s="189">
        <f>F284+O284</f>
        <v>850</v>
      </c>
      <c r="F284" s="189">
        <f>G284+K284+L284+J284+N284+M284</f>
        <v>850</v>
      </c>
      <c r="G284" s="189">
        <f>H284+I284</f>
        <v>850</v>
      </c>
      <c r="H284" s="190"/>
      <c r="I284" s="191">
        <v>850</v>
      </c>
      <c r="J284" s="190"/>
      <c r="K284" s="190"/>
      <c r="L284" s="190"/>
      <c r="M284" s="190"/>
      <c r="N284" s="190"/>
      <c r="O284" s="190"/>
      <c r="P284" s="192"/>
      <c r="Q284" s="192"/>
      <c r="R284" s="190"/>
    </row>
    <row r="285" spans="1:18" ht="36.75" customHeight="1">
      <c r="A285" s="188"/>
      <c r="B285" s="188"/>
      <c r="C285" s="188">
        <v>4360</v>
      </c>
      <c r="D285" s="234" t="s">
        <v>384</v>
      </c>
      <c r="E285" s="189">
        <f>F285+O285</f>
        <v>1700</v>
      </c>
      <c r="F285" s="189">
        <f>G285+K285+L285+J285+N285+M285</f>
        <v>1700</v>
      </c>
      <c r="G285" s="189">
        <f>H285+I285</f>
        <v>1700</v>
      </c>
      <c r="H285" s="190"/>
      <c r="I285" s="191">
        <v>1700</v>
      </c>
      <c r="J285" s="190"/>
      <c r="K285" s="190"/>
      <c r="L285" s="190"/>
      <c r="M285" s="190"/>
      <c r="N285" s="190"/>
      <c r="O285" s="190"/>
      <c r="P285" s="192"/>
      <c r="Q285" s="192"/>
      <c r="R285" s="190"/>
    </row>
    <row r="286" spans="1:18" ht="22.5" customHeight="1">
      <c r="A286" s="188"/>
      <c r="B286" s="188"/>
      <c r="C286" s="188">
        <v>4410</v>
      </c>
      <c r="D286" s="200" t="s">
        <v>301</v>
      </c>
      <c r="E286" s="189">
        <f>F286+O286</f>
        <v>300</v>
      </c>
      <c r="F286" s="189">
        <f>G286+K286+L286+J286+N286+M286</f>
        <v>300</v>
      </c>
      <c r="G286" s="189">
        <f>H286+I286</f>
        <v>300</v>
      </c>
      <c r="H286" s="190"/>
      <c r="I286" s="191">
        <v>300</v>
      </c>
      <c r="J286" s="190"/>
      <c r="K286" s="190"/>
      <c r="L286" s="190"/>
      <c r="M286" s="190"/>
      <c r="N286" s="190"/>
      <c r="O286" s="190"/>
      <c r="P286" s="192"/>
      <c r="Q286" s="192"/>
      <c r="R286" s="190"/>
    </row>
    <row r="287" spans="1:18" ht="36.75" customHeight="1">
      <c r="A287" s="188"/>
      <c r="B287" s="188"/>
      <c r="C287" s="188">
        <v>4440</v>
      </c>
      <c r="D287" s="234" t="s">
        <v>334</v>
      </c>
      <c r="E287" s="189">
        <f>F287+O287</f>
        <v>12576.125</v>
      </c>
      <c r="F287" s="189">
        <f>G287+K287+L287+J287+N287+M287</f>
        <v>12576.125</v>
      </c>
      <c r="G287" s="189">
        <f>H287+I287</f>
        <v>12576.125</v>
      </c>
      <c r="H287" s="190"/>
      <c r="I287" s="191">
        <f>11*1048+6*0.0625*2795</f>
        <v>12576.125</v>
      </c>
      <c r="J287" s="190"/>
      <c r="K287" s="190"/>
      <c r="L287" s="190"/>
      <c r="M287" s="190"/>
      <c r="N287" s="190"/>
      <c r="O287" s="190"/>
      <c r="P287" s="192"/>
      <c r="Q287" s="192"/>
      <c r="R287" s="190"/>
    </row>
    <row r="288" spans="1:18" ht="22.5" customHeight="1">
      <c r="A288" s="184"/>
      <c r="B288" s="184">
        <v>85295</v>
      </c>
      <c r="C288" s="184"/>
      <c r="D288" s="185" t="s">
        <v>95</v>
      </c>
      <c r="E288" s="186">
        <f>SUM(E289:E291)</f>
        <v>299000</v>
      </c>
      <c r="F288" s="186">
        <f>SUM(F289:F291)</f>
        <v>299000</v>
      </c>
      <c r="G288" s="186">
        <f>SUM(G289:G291)</f>
        <v>4000</v>
      </c>
      <c r="H288" s="186">
        <f>SUM(H289:H291)</f>
        <v>0</v>
      </c>
      <c r="I288" s="186">
        <f>SUM(I289:I291)</f>
        <v>4000</v>
      </c>
      <c r="J288" s="186">
        <f>SUM(J289:J291)</f>
        <v>10000</v>
      </c>
      <c r="K288" s="186">
        <f>SUM(K289:K291)</f>
        <v>285000</v>
      </c>
      <c r="L288" s="186">
        <f>SUM(L289:L291)</f>
        <v>0</v>
      </c>
      <c r="M288" s="186">
        <f>SUM(M289:M291)</f>
        <v>0</v>
      </c>
      <c r="N288" s="186">
        <f>SUM(N289:N291)</f>
        <v>0</v>
      </c>
      <c r="O288" s="186">
        <f>SUM(O289:O291)</f>
        <v>0</v>
      </c>
      <c r="P288" s="186">
        <f>SUM(P289:P291)</f>
        <v>0</v>
      </c>
      <c r="Q288" s="186">
        <f>SUM(Q289:Q291)</f>
        <v>0</v>
      </c>
      <c r="R288" s="186">
        <f>SUM(R289:R291)</f>
        <v>0</v>
      </c>
    </row>
    <row r="289" spans="1:18" ht="54" customHeight="1">
      <c r="A289" s="184"/>
      <c r="B289" s="184"/>
      <c r="C289" s="188">
        <v>2820</v>
      </c>
      <c r="D289" s="187" t="s">
        <v>386</v>
      </c>
      <c r="E289" s="189">
        <f>F289+O289</f>
        <v>10000</v>
      </c>
      <c r="F289" s="189">
        <f>G289+K289+L289+J289+N289+M289</f>
        <v>10000</v>
      </c>
      <c r="G289" s="189">
        <f>H289+I289</f>
        <v>0</v>
      </c>
      <c r="H289" s="186"/>
      <c r="I289" s="186"/>
      <c r="J289" s="191">
        <f>'zał 26'!E14</f>
        <v>10000</v>
      </c>
      <c r="K289" s="186"/>
      <c r="L289" s="186"/>
      <c r="M289" s="201"/>
      <c r="N289" s="186"/>
      <c r="O289" s="186"/>
      <c r="P289" s="186"/>
      <c r="Q289" s="186"/>
      <c r="R289" s="186"/>
    </row>
    <row r="290" spans="1:18" ht="22.5" customHeight="1">
      <c r="A290" s="188"/>
      <c r="B290" s="188"/>
      <c r="C290" s="188">
        <v>3110</v>
      </c>
      <c r="D290" s="200" t="s">
        <v>378</v>
      </c>
      <c r="E290" s="189">
        <f>F290+O290</f>
        <v>285000</v>
      </c>
      <c r="F290" s="189">
        <f>G290+K290+L290+J290+N290+M290</f>
        <v>285000</v>
      </c>
      <c r="G290" s="189">
        <f>H290+I290</f>
        <v>0</v>
      </c>
      <c r="H290" s="190"/>
      <c r="I290" s="190"/>
      <c r="J290" s="190"/>
      <c r="K290" s="191">
        <f>'zał 2'!E117+57000</f>
        <v>285000</v>
      </c>
      <c r="L290" s="190"/>
      <c r="M290" s="190"/>
      <c r="N290" s="201"/>
      <c r="O290" s="190"/>
      <c r="P290" s="192"/>
      <c r="Q290" s="192"/>
      <c r="R290" s="190"/>
    </row>
    <row r="291" spans="1:18" ht="22.5" customHeight="1">
      <c r="A291" s="188"/>
      <c r="B291" s="188"/>
      <c r="C291" s="188">
        <v>4300</v>
      </c>
      <c r="D291" s="200" t="s">
        <v>269</v>
      </c>
      <c r="E291" s="189">
        <f>F291+O291</f>
        <v>4000</v>
      </c>
      <c r="F291" s="189">
        <f>G291+K291+L291+J291+N291+M291</f>
        <v>4000</v>
      </c>
      <c r="G291" s="189">
        <f>H291+I291</f>
        <v>4000</v>
      </c>
      <c r="H291" s="190"/>
      <c r="I291" s="190">
        <v>4000</v>
      </c>
      <c r="J291" s="190"/>
      <c r="K291" s="190"/>
      <c r="L291" s="190"/>
      <c r="M291" s="190"/>
      <c r="N291" s="190"/>
      <c r="O291" s="190"/>
      <c r="P291" s="192"/>
      <c r="Q291" s="192"/>
      <c r="R291" s="190"/>
    </row>
    <row r="292" spans="1:18" ht="22.5" customHeight="1">
      <c r="A292" s="219">
        <v>853</v>
      </c>
      <c r="B292" s="219"/>
      <c r="C292" s="220"/>
      <c r="D292" s="221" t="s">
        <v>210</v>
      </c>
      <c r="E292" s="235">
        <f>E293</f>
        <v>219000</v>
      </c>
      <c r="F292" s="235">
        <f>F293</f>
        <v>219000</v>
      </c>
      <c r="G292" s="235">
        <f>G293</f>
        <v>198432</v>
      </c>
      <c r="H292" s="235">
        <f>H293</f>
        <v>96818</v>
      </c>
      <c r="I292" s="235">
        <f>I293</f>
        <v>101614</v>
      </c>
      <c r="J292" s="235">
        <f>J293</f>
        <v>0</v>
      </c>
      <c r="K292" s="235">
        <f>K293</f>
        <v>20568</v>
      </c>
      <c r="L292" s="235">
        <f>L293</f>
        <v>219000</v>
      </c>
      <c r="M292" s="235">
        <f>M293</f>
        <v>0</v>
      </c>
      <c r="N292" s="235">
        <f>N293</f>
        <v>0</v>
      </c>
      <c r="O292" s="235">
        <f>O293</f>
        <v>0</v>
      </c>
      <c r="P292" s="235">
        <f>P293</f>
        <v>0</v>
      </c>
      <c r="Q292" s="235">
        <f>Q293</f>
        <v>0</v>
      </c>
      <c r="R292" s="235">
        <f>R293</f>
        <v>0</v>
      </c>
    </row>
    <row r="293" spans="1:18" ht="22.5" customHeight="1">
      <c r="A293" s="236"/>
      <c r="B293" s="237">
        <v>85395</v>
      </c>
      <c r="C293" s="195"/>
      <c r="D293" s="238" t="s">
        <v>95</v>
      </c>
      <c r="E293" s="239">
        <f>SUM(E294:E308)</f>
        <v>219000</v>
      </c>
      <c r="F293" s="239">
        <f>SUM(F294:F308)</f>
        <v>219000</v>
      </c>
      <c r="G293" s="239">
        <f>SUM(G294:G308)</f>
        <v>198432</v>
      </c>
      <c r="H293" s="239">
        <f>SUM(H294:H308)</f>
        <v>96818</v>
      </c>
      <c r="I293" s="239">
        <f>SUM(I294:I308)</f>
        <v>101614</v>
      </c>
      <c r="J293" s="239">
        <f>SUM(J294:J308)</f>
        <v>0</v>
      </c>
      <c r="K293" s="239">
        <f>SUM(K294:K308)</f>
        <v>20568</v>
      </c>
      <c r="L293" s="239">
        <f>SUM(L294:L308)</f>
        <v>219000</v>
      </c>
      <c r="M293" s="239">
        <f>SUM(M294:M308)</f>
        <v>0</v>
      </c>
      <c r="N293" s="239">
        <f>SUM(N294:N308)</f>
        <v>0</v>
      </c>
      <c r="O293" s="239">
        <f>SUM(O294:O308)</f>
        <v>0</v>
      </c>
      <c r="P293" s="239">
        <f>SUM(P294:P308)</f>
        <v>0</v>
      </c>
      <c r="Q293" s="239">
        <f>SUM(Q294:Q308)</f>
        <v>0</v>
      </c>
      <c r="R293" s="239">
        <f>SUM(R294:R308)</f>
        <v>0</v>
      </c>
    </row>
    <row r="294" spans="1:18" ht="22.5" customHeight="1">
      <c r="A294" s="236"/>
      <c r="B294" s="236"/>
      <c r="C294" s="227">
        <v>3119</v>
      </c>
      <c r="D294" s="240" t="s">
        <v>387</v>
      </c>
      <c r="E294" s="189">
        <f>F294+O294</f>
        <v>20568</v>
      </c>
      <c r="F294" s="189">
        <f>G294+K294+J294+N294+M294</f>
        <v>20568</v>
      </c>
      <c r="G294" s="189">
        <f>H294+I294</f>
        <v>0</v>
      </c>
      <c r="H294" s="211"/>
      <c r="I294" s="211"/>
      <c r="J294" s="211"/>
      <c r="K294" s="241">
        <f>L294</f>
        <v>20568</v>
      </c>
      <c r="L294" s="241">
        <v>20568</v>
      </c>
      <c r="M294" s="211"/>
      <c r="N294" s="189"/>
      <c r="O294" s="189"/>
      <c r="P294" s="189"/>
      <c r="Q294" s="189"/>
      <c r="R294" s="190"/>
    </row>
    <row r="295" spans="1:18" ht="22.5" customHeight="1">
      <c r="A295" s="236"/>
      <c r="B295" s="236"/>
      <c r="C295" s="227">
        <v>4017</v>
      </c>
      <c r="D295" s="240" t="s">
        <v>328</v>
      </c>
      <c r="E295" s="189">
        <f>F295+O295</f>
        <v>31650</v>
      </c>
      <c r="F295" s="189">
        <f>G295+K295+J295+N295+M295</f>
        <v>31650</v>
      </c>
      <c r="G295" s="189">
        <f>H295+I295</f>
        <v>31650</v>
      </c>
      <c r="H295" s="241">
        <f>L295</f>
        <v>31650</v>
      </c>
      <c r="I295" s="211"/>
      <c r="J295" s="211"/>
      <c r="K295" s="211"/>
      <c r="L295" s="241">
        <v>31650</v>
      </c>
      <c r="M295" s="211"/>
      <c r="N295" s="242"/>
      <c r="O295" s="242"/>
      <c r="P295" s="242"/>
      <c r="Q295" s="242"/>
      <c r="R295" s="190"/>
    </row>
    <row r="296" spans="1:18" ht="22.5" customHeight="1">
      <c r="A296" s="236"/>
      <c r="B296" s="236"/>
      <c r="C296" s="227">
        <v>4019</v>
      </c>
      <c r="D296" s="240" t="s">
        <v>328</v>
      </c>
      <c r="E296" s="189">
        <f>F296+O296</f>
        <v>7268</v>
      </c>
      <c r="F296" s="189">
        <f>G296+K296+J296+N296+M296</f>
        <v>7268</v>
      </c>
      <c r="G296" s="189">
        <f>H296+I296</f>
        <v>7268</v>
      </c>
      <c r="H296" s="241">
        <f>L296</f>
        <v>7268</v>
      </c>
      <c r="I296" s="211"/>
      <c r="J296" s="211"/>
      <c r="K296" s="211"/>
      <c r="L296" s="241">
        <v>7268</v>
      </c>
      <c r="M296" s="211"/>
      <c r="N296" s="243"/>
      <c r="O296" s="243"/>
      <c r="P296" s="243"/>
      <c r="Q296" s="243"/>
      <c r="R296" s="190"/>
    </row>
    <row r="297" spans="1:18" ht="22.5" customHeight="1">
      <c r="A297" s="236"/>
      <c r="B297" s="236"/>
      <c r="C297" s="227">
        <v>4117</v>
      </c>
      <c r="D297" s="240" t="s">
        <v>347</v>
      </c>
      <c r="E297" s="189">
        <f>F297+O297</f>
        <v>9500</v>
      </c>
      <c r="F297" s="189">
        <f>G297+K297+J297+N297+M297</f>
        <v>9500</v>
      </c>
      <c r="G297" s="189">
        <f>H297+I297</f>
        <v>9500</v>
      </c>
      <c r="H297" s="241">
        <f>L297</f>
        <v>9500</v>
      </c>
      <c r="I297" s="211"/>
      <c r="J297" s="211"/>
      <c r="K297" s="211"/>
      <c r="L297" s="241">
        <v>9500</v>
      </c>
      <c r="M297" s="211"/>
      <c r="N297" s="189"/>
      <c r="O297" s="189"/>
      <c r="P297" s="189"/>
      <c r="Q297" s="189"/>
      <c r="R297" s="190"/>
    </row>
    <row r="298" spans="1:18" ht="22.5" customHeight="1">
      <c r="A298" s="236"/>
      <c r="B298" s="236"/>
      <c r="C298" s="227">
        <v>4119</v>
      </c>
      <c r="D298" s="240" t="s">
        <v>347</v>
      </c>
      <c r="E298" s="189">
        <f>F298+O298</f>
        <v>1000</v>
      </c>
      <c r="F298" s="189">
        <f>G298+K298+J298+N298+M298</f>
        <v>1000</v>
      </c>
      <c r="G298" s="189">
        <f>H298+I298</f>
        <v>1000</v>
      </c>
      <c r="H298" s="241">
        <f>L298</f>
        <v>1000</v>
      </c>
      <c r="I298" s="211"/>
      <c r="J298" s="211"/>
      <c r="K298" s="211"/>
      <c r="L298" s="241">
        <v>1000</v>
      </c>
      <c r="M298" s="211"/>
      <c r="N298" s="189"/>
      <c r="O298" s="189"/>
      <c r="P298" s="189"/>
      <c r="Q298" s="244"/>
      <c r="R298" s="190"/>
    </row>
    <row r="299" spans="1:18" ht="22.5" customHeight="1">
      <c r="A299" s="236"/>
      <c r="B299" s="236"/>
      <c r="C299" s="227">
        <v>4127</v>
      </c>
      <c r="D299" s="240" t="s">
        <v>348</v>
      </c>
      <c r="E299" s="189">
        <f>F299+O299</f>
        <v>1250</v>
      </c>
      <c r="F299" s="189">
        <f>G299+K299+J299+N299+M299</f>
        <v>1250</v>
      </c>
      <c r="G299" s="189">
        <f>H299+I299</f>
        <v>1250</v>
      </c>
      <c r="H299" s="241">
        <f>L299</f>
        <v>1250</v>
      </c>
      <c r="I299" s="211"/>
      <c r="J299" s="211"/>
      <c r="K299" s="211"/>
      <c r="L299" s="241">
        <v>1250</v>
      </c>
      <c r="M299" s="211"/>
      <c r="N299" s="243"/>
      <c r="O299" s="243"/>
      <c r="P299" s="243"/>
      <c r="Q299" s="243"/>
      <c r="R299" s="190"/>
    </row>
    <row r="300" spans="1:18" ht="22.5" customHeight="1">
      <c r="A300" s="236"/>
      <c r="B300" s="236"/>
      <c r="C300" s="227">
        <v>4129</v>
      </c>
      <c r="D300" s="240" t="s">
        <v>348</v>
      </c>
      <c r="E300" s="189">
        <f>F300+O300</f>
        <v>150</v>
      </c>
      <c r="F300" s="189">
        <f>G300+K300+J300+N300+M300</f>
        <v>150</v>
      </c>
      <c r="G300" s="189">
        <f>H300+I300</f>
        <v>150</v>
      </c>
      <c r="H300" s="241">
        <f>L300</f>
        <v>150</v>
      </c>
      <c r="I300" s="211"/>
      <c r="J300" s="211"/>
      <c r="K300" s="211"/>
      <c r="L300" s="241">
        <v>150</v>
      </c>
      <c r="M300" s="211"/>
      <c r="N300" s="189"/>
      <c r="O300" s="189"/>
      <c r="P300" s="189"/>
      <c r="Q300" s="189"/>
      <c r="R300" s="190"/>
    </row>
    <row r="301" spans="1:18" ht="22.5" customHeight="1">
      <c r="A301" s="236"/>
      <c r="B301" s="236"/>
      <c r="C301" s="227">
        <v>4177</v>
      </c>
      <c r="D301" s="240" t="s">
        <v>388</v>
      </c>
      <c r="E301" s="189">
        <f>F301+O301</f>
        <v>26000</v>
      </c>
      <c r="F301" s="189">
        <f>G301+K301+J301+N301+M301</f>
        <v>26000</v>
      </c>
      <c r="G301" s="189">
        <f>H301+I301</f>
        <v>26000</v>
      </c>
      <c r="H301" s="241">
        <f>L301</f>
        <v>26000</v>
      </c>
      <c r="I301" s="211"/>
      <c r="J301" s="211"/>
      <c r="K301" s="211"/>
      <c r="L301" s="241">
        <v>26000</v>
      </c>
      <c r="M301" s="211"/>
      <c r="N301" s="189"/>
      <c r="O301" s="189"/>
      <c r="P301" s="189"/>
      <c r="Q301" s="189"/>
      <c r="R301" s="190"/>
    </row>
    <row r="302" spans="1:18" ht="22.5" customHeight="1">
      <c r="A302" s="236"/>
      <c r="B302" s="236"/>
      <c r="C302" s="227">
        <v>4179</v>
      </c>
      <c r="D302" s="240" t="s">
        <v>388</v>
      </c>
      <c r="E302" s="189">
        <f>F302+O302</f>
        <v>5000</v>
      </c>
      <c r="F302" s="189">
        <f>G302+K302+J302+N302+M302</f>
        <v>5000</v>
      </c>
      <c r="G302" s="189">
        <f>H302+I302</f>
        <v>5000</v>
      </c>
      <c r="H302" s="241">
        <f>L302</f>
        <v>5000</v>
      </c>
      <c r="I302" s="211"/>
      <c r="J302" s="211"/>
      <c r="K302" s="211"/>
      <c r="L302" s="241">
        <v>5000</v>
      </c>
      <c r="M302" s="211"/>
      <c r="N302" s="243"/>
      <c r="O302" s="243"/>
      <c r="P302" s="243"/>
      <c r="Q302" s="243"/>
      <c r="R302" s="190"/>
    </row>
    <row r="303" spans="1:18" ht="22.5" customHeight="1">
      <c r="A303" s="236"/>
      <c r="B303" s="236"/>
      <c r="C303" s="227">
        <v>4217</v>
      </c>
      <c r="D303" s="240" t="s">
        <v>339</v>
      </c>
      <c r="E303" s="189">
        <f>F303+O303</f>
        <v>15000</v>
      </c>
      <c r="F303" s="189">
        <f>G303+K303+J303+N303+M303</f>
        <v>15000</v>
      </c>
      <c r="G303" s="189">
        <f>H303+I303</f>
        <v>15000</v>
      </c>
      <c r="H303" s="241">
        <f>L303</f>
        <v>15000</v>
      </c>
      <c r="I303" s="211"/>
      <c r="J303" s="211"/>
      <c r="K303" s="211"/>
      <c r="L303" s="241">
        <v>15000</v>
      </c>
      <c r="M303" s="211"/>
      <c r="N303" s="189"/>
      <c r="O303" s="189"/>
      <c r="P303" s="189"/>
      <c r="Q303" s="189"/>
      <c r="R303" s="190"/>
    </row>
    <row r="304" spans="1:18" ht="22.5" customHeight="1">
      <c r="A304" s="236"/>
      <c r="B304" s="236"/>
      <c r="C304" s="227">
        <v>4219</v>
      </c>
      <c r="D304" s="240" t="s">
        <v>339</v>
      </c>
      <c r="E304" s="189">
        <f>F304+O304</f>
        <v>2000</v>
      </c>
      <c r="F304" s="189">
        <f>G304+K304+J304+N304+M304</f>
        <v>2000</v>
      </c>
      <c r="G304" s="189">
        <f>H304+I304</f>
        <v>2000</v>
      </c>
      <c r="H304" s="211"/>
      <c r="I304" s="241">
        <f>L304</f>
        <v>2000</v>
      </c>
      <c r="J304" s="211"/>
      <c r="K304" s="211"/>
      <c r="L304" s="241">
        <v>2000</v>
      </c>
      <c r="M304" s="211"/>
      <c r="N304" s="189"/>
      <c r="O304" s="189"/>
      <c r="P304" s="189"/>
      <c r="Q304" s="189"/>
      <c r="R304" s="190"/>
    </row>
    <row r="305" spans="1:18" ht="22.5" customHeight="1">
      <c r="A305" s="236"/>
      <c r="B305" s="236"/>
      <c r="C305" s="227">
        <v>4307</v>
      </c>
      <c r="D305" s="240" t="s">
        <v>350</v>
      </c>
      <c r="E305" s="189">
        <f>F305+O305</f>
        <v>92000</v>
      </c>
      <c r="F305" s="189">
        <f>G305+K305+J305+N305+M305</f>
        <v>92000</v>
      </c>
      <c r="G305" s="189">
        <f>H305+I305</f>
        <v>92000</v>
      </c>
      <c r="H305" s="211"/>
      <c r="I305" s="241">
        <f>L305</f>
        <v>92000</v>
      </c>
      <c r="J305" s="211"/>
      <c r="K305" s="211"/>
      <c r="L305" s="241">
        <v>92000</v>
      </c>
      <c r="M305" s="211"/>
      <c r="N305" s="189"/>
      <c r="O305" s="189"/>
      <c r="P305" s="189"/>
      <c r="Q305" s="189"/>
      <c r="R305" s="190"/>
    </row>
    <row r="306" spans="1:18" ht="22.5" customHeight="1">
      <c r="A306" s="236"/>
      <c r="B306" s="236"/>
      <c r="C306" s="227">
        <v>4309</v>
      </c>
      <c r="D306" s="240" t="s">
        <v>350</v>
      </c>
      <c r="E306" s="189">
        <f>F306+O306</f>
        <v>7114</v>
      </c>
      <c r="F306" s="189">
        <f>G306+K306+J306+N306+M306</f>
        <v>7114</v>
      </c>
      <c r="G306" s="189">
        <f>H306+I306</f>
        <v>7114</v>
      </c>
      <c r="H306" s="211"/>
      <c r="I306" s="241">
        <f>L306</f>
        <v>7114</v>
      </c>
      <c r="J306" s="211"/>
      <c r="K306" s="211"/>
      <c r="L306" s="241">
        <v>7114</v>
      </c>
      <c r="M306" s="211"/>
      <c r="N306" s="243"/>
      <c r="O306" s="243"/>
      <c r="P306" s="243"/>
      <c r="Q306" s="243"/>
      <c r="R306" s="190"/>
    </row>
    <row r="307" spans="1:18" ht="22.5" customHeight="1">
      <c r="A307" s="236"/>
      <c r="B307" s="236"/>
      <c r="C307" s="227">
        <v>4417</v>
      </c>
      <c r="D307" s="240" t="s">
        <v>353</v>
      </c>
      <c r="E307" s="189">
        <f>F307+O307</f>
        <v>400</v>
      </c>
      <c r="F307" s="189">
        <f>G307+K307+J307+N307+M307</f>
        <v>400</v>
      </c>
      <c r="G307" s="189">
        <f>H307+I307</f>
        <v>400</v>
      </c>
      <c r="H307" s="211"/>
      <c r="I307" s="241">
        <f>L307</f>
        <v>400</v>
      </c>
      <c r="J307" s="211"/>
      <c r="K307" s="211"/>
      <c r="L307" s="241">
        <v>400</v>
      </c>
      <c r="M307" s="211"/>
      <c r="N307" s="189"/>
      <c r="O307" s="189"/>
      <c r="P307" s="189"/>
      <c r="Q307" s="189"/>
      <c r="R307" s="190"/>
    </row>
    <row r="308" spans="1:18" ht="22.5" customHeight="1">
      <c r="A308" s="236"/>
      <c r="B308" s="236"/>
      <c r="C308" s="227">
        <v>4419</v>
      </c>
      <c r="D308" s="240" t="s">
        <v>353</v>
      </c>
      <c r="E308" s="189">
        <f>F308+O308</f>
        <v>100</v>
      </c>
      <c r="F308" s="189">
        <f>G308+K308+J308+N308+M308</f>
        <v>100</v>
      </c>
      <c r="G308" s="189">
        <f>H308+I308</f>
        <v>100</v>
      </c>
      <c r="H308" s="211"/>
      <c r="I308" s="241">
        <f>L308</f>
        <v>100</v>
      </c>
      <c r="J308" s="211"/>
      <c r="K308" s="211"/>
      <c r="L308" s="241">
        <v>100</v>
      </c>
      <c r="M308" s="211"/>
      <c r="N308" s="243"/>
      <c r="O308" s="243"/>
      <c r="P308" s="243"/>
      <c r="Q308" s="243"/>
      <c r="R308" s="190"/>
    </row>
    <row r="309" spans="1:18" ht="22.5" customHeight="1">
      <c r="A309" s="181">
        <v>854</v>
      </c>
      <c r="B309" s="181"/>
      <c r="C309" s="181"/>
      <c r="D309" s="181" t="s">
        <v>389</v>
      </c>
      <c r="E309" s="182">
        <f>E310</f>
        <v>50320</v>
      </c>
      <c r="F309" s="182">
        <f>F310</f>
        <v>50320</v>
      </c>
      <c r="G309" s="182">
        <f>G310</f>
        <v>320</v>
      </c>
      <c r="H309" s="182">
        <f>H310</f>
        <v>0</v>
      </c>
      <c r="I309" s="182">
        <f>I310</f>
        <v>320</v>
      </c>
      <c r="J309" s="182">
        <f>J310</f>
        <v>0</v>
      </c>
      <c r="K309" s="182">
        <f>K310</f>
        <v>50000</v>
      </c>
      <c r="L309" s="182">
        <f>L310</f>
        <v>0</v>
      </c>
      <c r="M309" s="182">
        <f>M310</f>
        <v>0</v>
      </c>
      <c r="N309" s="182">
        <f>N310</f>
        <v>0</v>
      </c>
      <c r="O309" s="182">
        <f>O310</f>
        <v>0</v>
      </c>
      <c r="P309" s="182">
        <f>P310</f>
        <v>0</v>
      </c>
      <c r="Q309" s="182">
        <f>Q310</f>
        <v>0</v>
      </c>
      <c r="R309" s="182">
        <f>R310</f>
        <v>0</v>
      </c>
    </row>
    <row r="310" spans="1:18" ht="22.5" customHeight="1">
      <c r="A310" s="184"/>
      <c r="B310" s="184">
        <v>85415</v>
      </c>
      <c r="C310" s="184"/>
      <c r="D310" s="196" t="s">
        <v>390</v>
      </c>
      <c r="E310" s="186">
        <f>E311+E312</f>
        <v>50320</v>
      </c>
      <c r="F310" s="186">
        <f>F311+F312</f>
        <v>50320</v>
      </c>
      <c r="G310" s="186">
        <f>G311+G312</f>
        <v>320</v>
      </c>
      <c r="H310" s="186">
        <f>H311+H312</f>
        <v>0</v>
      </c>
      <c r="I310" s="186">
        <f>I311+I312</f>
        <v>320</v>
      </c>
      <c r="J310" s="186">
        <f>J311+J312</f>
        <v>0</v>
      </c>
      <c r="K310" s="186">
        <f>K311+K312</f>
        <v>50000</v>
      </c>
      <c r="L310" s="186">
        <f>L311+L312</f>
        <v>0</v>
      </c>
      <c r="M310" s="186">
        <f>M311+M312</f>
        <v>0</v>
      </c>
      <c r="N310" s="186">
        <f>N311+N312</f>
        <v>0</v>
      </c>
      <c r="O310" s="186">
        <f>O311+O312</f>
        <v>0</v>
      </c>
      <c r="P310" s="186">
        <f>P311+P312</f>
        <v>0</v>
      </c>
      <c r="Q310" s="186">
        <f>Q311+Q312</f>
        <v>0</v>
      </c>
      <c r="R310" s="186">
        <f>R311+R312</f>
        <v>0</v>
      </c>
    </row>
    <row r="311" spans="1:18" ht="22.5" customHeight="1">
      <c r="A311" s="188"/>
      <c r="B311" s="188"/>
      <c r="C311" s="188">
        <v>3260</v>
      </c>
      <c r="D311" s="187" t="s">
        <v>391</v>
      </c>
      <c r="E311" s="189">
        <f>F311+O311</f>
        <v>50000</v>
      </c>
      <c r="F311" s="189">
        <f>G311+K311+L311+J311+N311+M311</f>
        <v>50000</v>
      </c>
      <c r="G311" s="189">
        <f>H311+I311</f>
        <v>0</v>
      </c>
      <c r="H311" s="190"/>
      <c r="I311" s="201"/>
      <c r="J311" s="190"/>
      <c r="K311" s="191">
        <v>50000</v>
      </c>
      <c r="L311" s="190"/>
      <c r="M311" s="190"/>
      <c r="N311" s="190"/>
      <c r="O311" s="190"/>
      <c r="P311" s="192"/>
      <c r="Q311" s="192"/>
      <c r="R311" s="190"/>
    </row>
    <row r="312" spans="1:18" ht="22.5" customHeight="1">
      <c r="A312" s="188"/>
      <c r="B312" s="188"/>
      <c r="C312" s="188">
        <v>4300</v>
      </c>
      <c r="D312" s="187" t="s">
        <v>269</v>
      </c>
      <c r="E312" s="189">
        <f>F312+O312</f>
        <v>320</v>
      </c>
      <c r="F312" s="189">
        <f>G312+K312+L312+J312+N312+M312</f>
        <v>320</v>
      </c>
      <c r="G312" s="189">
        <f>H312+I312</f>
        <v>320</v>
      </c>
      <c r="H312" s="190"/>
      <c r="I312" s="191">
        <v>320</v>
      </c>
      <c r="J312" s="190"/>
      <c r="K312" s="190"/>
      <c r="L312" s="190"/>
      <c r="M312" s="190"/>
      <c r="N312" s="190"/>
      <c r="O312" s="190"/>
      <c r="P312" s="192"/>
      <c r="Q312" s="192"/>
      <c r="R312" s="190"/>
    </row>
    <row r="313" spans="1:18" ht="22.5" customHeight="1">
      <c r="A313" s="181">
        <v>900</v>
      </c>
      <c r="B313" s="181"/>
      <c r="C313" s="181"/>
      <c r="D313" s="181" t="s">
        <v>392</v>
      </c>
      <c r="E313" s="182">
        <f>E314+E317+E320+E323+E325+E337+E330</f>
        <v>1910404</v>
      </c>
      <c r="F313" s="182">
        <f>F314+F317+F320+F323+F325+F337+F330</f>
        <v>1835404</v>
      </c>
      <c r="G313" s="182">
        <f>G314+G317+G320+G323+G325+G337+G330</f>
        <v>1777198</v>
      </c>
      <c r="H313" s="182">
        <f>H314+H317+H320+H323+H325+H337+H330</f>
        <v>0</v>
      </c>
      <c r="I313" s="182">
        <f>I314+I317+I320+I323+I325+I337+I330</f>
        <v>1777198</v>
      </c>
      <c r="J313" s="182">
        <f>J314+J317+J320+J323+J325+J337+J330</f>
        <v>7000</v>
      </c>
      <c r="K313" s="182">
        <f>K314+K317+K320+K323+K325+K337+K330</f>
        <v>0</v>
      </c>
      <c r="L313" s="182">
        <f>L314+L317+L320+L323+L325+L337+L330</f>
        <v>0</v>
      </c>
      <c r="M313" s="182">
        <f>M314+M317+M320+M323+M325+M337+M330</f>
        <v>51206</v>
      </c>
      <c r="N313" s="182">
        <f>N314+N317+N320+N323+N325+N337+N330</f>
        <v>0</v>
      </c>
      <c r="O313" s="182">
        <f>O314+O317+O320+O323+O325+O337+O330</f>
        <v>75000</v>
      </c>
      <c r="P313" s="182">
        <f>P314+P317+P320+P323+P325+P337+P330</f>
        <v>75000</v>
      </c>
      <c r="Q313" s="182">
        <f>Q314+Q317+Q320+Q323+Q325+Q337+Q330</f>
        <v>0</v>
      </c>
      <c r="R313" s="182">
        <f>R314+R317+R320+R323+R325+R337+R330</f>
        <v>0</v>
      </c>
    </row>
    <row r="314" spans="1:18" ht="22.5" customHeight="1">
      <c r="A314" s="184"/>
      <c r="B314" s="184">
        <v>90001</v>
      </c>
      <c r="C314" s="184"/>
      <c r="D314" s="196" t="s">
        <v>393</v>
      </c>
      <c r="E314" s="186">
        <f>SUM(E315:E316)</f>
        <v>155000</v>
      </c>
      <c r="F314" s="186">
        <f>SUM(F315:F316)</f>
        <v>80000</v>
      </c>
      <c r="G314" s="186">
        <f>SUM(G315:G316)</f>
        <v>80000</v>
      </c>
      <c r="H314" s="186">
        <f>SUM(H315:H316)</f>
        <v>0</v>
      </c>
      <c r="I314" s="186">
        <f>SUM(I315:I316)</f>
        <v>80000</v>
      </c>
      <c r="J314" s="186">
        <f>SUM(J315:J316)</f>
        <v>0</v>
      </c>
      <c r="K314" s="186">
        <f>SUM(K315:K316)</f>
        <v>0</v>
      </c>
      <c r="L314" s="186">
        <f>SUM(L315:L316)</f>
        <v>0</v>
      </c>
      <c r="M314" s="186">
        <f>SUM(M315:M316)</f>
        <v>0</v>
      </c>
      <c r="N314" s="186">
        <f>SUM(N315:N316)</f>
        <v>0</v>
      </c>
      <c r="O314" s="186">
        <f>SUM(O315:O316)</f>
        <v>75000</v>
      </c>
      <c r="P314" s="186">
        <f>SUM(P315:P316)</f>
        <v>75000</v>
      </c>
      <c r="Q314" s="186">
        <f>SUM(Q315:Q316)</f>
        <v>0</v>
      </c>
      <c r="R314" s="186">
        <f>SUM(R315:R316)</f>
        <v>0</v>
      </c>
    </row>
    <row r="315" spans="1:18" ht="22.5" customHeight="1">
      <c r="A315" s="184"/>
      <c r="B315" s="188"/>
      <c r="C315" s="188">
        <v>4300</v>
      </c>
      <c r="D315" s="187" t="s">
        <v>269</v>
      </c>
      <c r="E315" s="189">
        <f>F315+O315</f>
        <v>80000</v>
      </c>
      <c r="F315" s="189">
        <f>G315+K315+L315+J315+N315+M315</f>
        <v>80000</v>
      </c>
      <c r="G315" s="189">
        <f>H315+I315</f>
        <v>80000</v>
      </c>
      <c r="H315" s="190"/>
      <c r="I315" s="191">
        <v>80000</v>
      </c>
      <c r="J315" s="190"/>
      <c r="K315" s="190"/>
      <c r="L315" s="190"/>
      <c r="M315" s="190"/>
      <c r="N315" s="190"/>
      <c r="O315" s="190"/>
      <c r="P315" s="192"/>
      <c r="Q315" s="192"/>
      <c r="R315" s="190"/>
    </row>
    <row r="316" spans="1:18" ht="22.5" customHeight="1">
      <c r="A316" s="184"/>
      <c r="B316" s="188"/>
      <c r="C316" s="188">
        <v>6050</v>
      </c>
      <c r="D316" s="187" t="s">
        <v>336</v>
      </c>
      <c r="E316" s="189">
        <f>F316+O316</f>
        <v>75000</v>
      </c>
      <c r="F316" s="189">
        <f>G316+K316+L316+J316+N316+M316</f>
        <v>0</v>
      </c>
      <c r="G316" s="189">
        <f>H316+I316</f>
        <v>0</v>
      </c>
      <c r="H316" s="190"/>
      <c r="I316" s="190"/>
      <c r="J316" s="190"/>
      <c r="K316" s="190"/>
      <c r="L316" s="190"/>
      <c r="M316" s="190"/>
      <c r="N316" s="190"/>
      <c r="O316" s="191">
        <f>P316+R316</f>
        <v>75000</v>
      </c>
      <c r="P316" s="191">
        <f>'zał 11'!E39</f>
        <v>75000</v>
      </c>
      <c r="Q316" s="192"/>
      <c r="R316" s="201"/>
    </row>
    <row r="317" spans="1:18" ht="22.5" customHeight="1">
      <c r="A317" s="184"/>
      <c r="B317" s="184">
        <v>90003</v>
      </c>
      <c r="C317" s="184"/>
      <c r="D317" s="196" t="s">
        <v>394</v>
      </c>
      <c r="E317" s="186">
        <f>SUM(E318:E319)</f>
        <v>417800</v>
      </c>
      <c r="F317" s="186">
        <f>SUM(F318:F319)</f>
        <v>417800</v>
      </c>
      <c r="G317" s="186">
        <f>SUM(G318:G319)</f>
        <v>417800</v>
      </c>
      <c r="H317" s="186">
        <f>SUM(H318:H319)</f>
        <v>0</v>
      </c>
      <c r="I317" s="186">
        <f>SUM(I318:I319)</f>
        <v>417800</v>
      </c>
      <c r="J317" s="186">
        <f>SUM(J318:J319)</f>
        <v>0</v>
      </c>
      <c r="K317" s="186">
        <f>SUM(K318:K319)</f>
        <v>0</v>
      </c>
      <c r="L317" s="186">
        <f>SUM(L318:L319)</f>
        <v>0</v>
      </c>
      <c r="M317" s="186">
        <f>SUM(M318:M319)</f>
        <v>0</v>
      </c>
      <c r="N317" s="186">
        <f>SUM(N318:N319)</f>
        <v>0</v>
      </c>
      <c r="O317" s="186">
        <f>SUM(O318:O319)</f>
        <v>0</v>
      </c>
      <c r="P317" s="186">
        <f>SUM(P318:P319)</f>
        <v>0</v>
      </c>
      <c r="Q317" s="186">
        <f>SUM(Q318:Q319)</f>
        <v>0</v>
      </c>
      <c r="R317" s="186">
        <f>SUM(R318:R319)</f>
        <v>0</v>
      </c>
    </row>
    <row r="318" spans="1:18" ht="22.5" customHeight="1">
      <c r="A318" s="184"/>
      <c r="B318" s="188"/>
      <c r="C318" s="188">
        <v>4210</v>
      </c>
      <c r="D318" s="187" t="s">
        <v>339</v>
      </c>
      <c r="E318" s="189">
        <f>F318+O318</f>
        <v>7800</v>
      </c>
      <c r="F318" s="189">
        <f>G318+K318+L318+J318+N318+M318</f>
        <v>7800</v>
      </c>
      <c r="G318" s="189">
        <f>H318+I318</f>
        <v>7800</v>
      </c>
      <c r="H318" s="190"/>
      <c r="I318" s="191">
        <f>7500+300</f>
        <v>7800</v>
      </c>
      <c r="J318" s="190"/>
      <c r="K318" s="190"/>
      <c r="L318" s="190"/>
      <c r="M318" s="190"/>
      <c r="N318" s="190"/>
      <c r="O318" s="190"/>
      <c r="P318" s="192"/>
      <c r="Q318" s="192"/>
      <c r="R318" s="190"/>
    </row>
    <row r="319" spans="1:18" ht="22.5" customHeight="1">
      <c r="A319" s="184"/>
      <c r="B319" s="188"/>
      <c r="C319" s="188">
        <v>4300</v>
      </c>
      <c r="D319" s="187" t="s">
        <v>269</v>
      </c>
      <c r="E319" s="189">
        <f>F319+O319</f>
        <v>410000</v>
      </c>
      <c r="F319" s="189">
        <f>G319+K319+L319+J319+N319+M319</f>
        <v>410000</v>
      </c>
      <c r="G319" s="189">
        <f>H319+I319</f>
        <v>410000</v>
      </c>
      <c r="H319" s="190"/>
      <c r="I319" s="191">
        <f>400000+10000</f>
        <v>410000</v>
      </c>
      <c r="J319" s="190"/>
      <c r="K319" s="190"/>
      <c r="L319" s="190"/>
      <c r="M319" s="190"/>
      <c r="N319" s="190"/>
      <c r="O319" s="190"/>
      <c r="P319" s="192"/>
      <c r="Q319" s="192"/>
      <c r="R319" s="190"/>
    </row>
    <row r="320" spans="1:18" ht="22.5" customHeight="1">
      <c r="A320" s="245"/>
      <c r="B320" s="184">
        <v>90004</v>
      </c>
      <c r="C320" s="184"/>
      <c r="D320" s="196" t="s">
        <v>395</v>
      </c>
      <c r="E320" s="186">
        <f>SUM(E321:E322)</f>
        <v>389563</v>
      </c>
      <c r="F320" s="186">
        <f>SUM(F321:F322)</f>
        <v>389563</v>
      </c>
      <c r="G320" s="186">
        <f>SUM(G321:G322)</f>
        <v>389563</v>
      </c>
      <c r="H320" s="186">
        <f>SUM(H321:H322)</f>
        <v>0</v>
      </c>
      <c r="I320" s="186">
        <f>SUM(I321:I322)</f>
        <v>389563</v>
      </c>
      <c r="J320" s="186">
        <f>SUM(J321:J322)</f>
        <v>0</v>
      </c>
      <c r="K320" s="186">
        <f>SUM(K321:K322)</f>
        <v>0</v>
      </c>
      <c r="L320" s="186">
        <f>SUM(L321:L322)</f>
        <v>0</v>
      </c>
      <c r="M320" s="186">
        <f>SUM(M321:M322)</f>
        <v>0</v>
      </c>
      <c r="N320" s="186">
        <f>SUM(N321:N322)</f>
        <v>0</v>
      </c>
      <c r="O320" s="186">
        <f>SUM(O321:O322)</f>
        <v>0</v>
      </c>
      <c r="P320" s="186">
        <f>SUM(P321:P322)</f>
        <v>0</v>
      </c>
      <c r="Q320" s="186">
        <f>SUM(Q321:Q322)</f>
        <v>0</v>
      </c>
      <c r="R320" s="186">
        <f>SUM(R321:R322)</f>
        <v>0</v>
      </c>
    </row>
    <row r="321" spans="1:18" ht="22.5" customHeight="1">
      <c r="A321" s="246"/>
      <c r="B321" s="188"/>
      <c r="C321" s="188">
        <v>4210</v>
      </c>
      <c r="D321" s="187" t="s">
        <v>285</v>
      </c>
      <c r="E321" s="189">
        <f>F321+O321</f>
        <v>19563</v>
      </c>
      <c r="F321" s="189">
        <f>G321+K321+L321+J321+N321+M321</f>
        <v>19563</v>
      </c>
      <c r="G321" s="189">
        <f>H321+I321</f>
        <v>19563</v>
      </c>
      <c r="H321" s="190"/>
      <c r="I321" s="191">
        <f>7714+1934+1300+2400+818+5397</f>
        <v>19563</v>
      </c>
      <c r="J321" s="190"/>
      <c r="K321" s="190"/>
      <c r="L321" s="190"/>
      <c r="M321" s="190"/>
      <c r="N321" s="190"/>
      <c r="O321" s="190"/>
      <c r="P321" s="192"/>
      <c r="Q321" s="192"/>
      <c r="R321" s="190"/>
    </row>
    <row r="322" spans="1:18" ht="22.5" customHeight="1">
      <c r="A322" s="246"/>
      <c r="B322" s="188"/>
      <c r="C322" s="188">
        <v>4300</v>
      </c>
      <c r="D322" s="187" t="s">
        <v>269</v>
      </c>
      <c r="E322" s="189">
        <f>F322+O322</f>
        <v>370000</v>
      </c>
      <c r="F322" s="189">
        <f>G322+K322+L322+J322+N322+M322</f>
        <v>370000</v>
      </c>
      <c r="G322" s="189">
        <f>H322+I322</f>
        <v>370000</v>
      </c>
      <c r="H322" s="190"/>
      <c r="I322" s="191">
        <f>360000+10000</f>
        <v>370000</v>
      </c>
      <c r="J322" s="190"/>
      <c r="K322" s="190"/>
      <c r="L322" s="190"/>
      <c r="M322" s="190"/>
      <c r="N322" s="190"/>
      <c r="O322" s="190"/>
      <c r="P322" s="192"/>
      <c r="Q322" s="192"/>
      <c r="R322" s="190"/>
    </row>
    <row r="323" spans="1:18" ht="22.5" customHeight="1">
      <c r="A323" s="245"/>
      <c r="B323" s="184">
        <v>90013</v>
      </c>
      <c r="C323" s="184"/>
      <c r="D323" s="196" t="s">
        <v>396</v>
      </c>
      <c r="E323" s="186">
        <f>E324</f>
        <v>30000</v>
      </c>
      <c r="F323" s="186">
        <f>F324</f>
        <v>30000</v>
      </c>
      <c r="G323" s="186">
        <f>G324</f>
        <v>30000</v>
      </c>
      <c r="H323" s="186">
        <f>H324</f>
        <v>0</v>
      </c>
      <c r="I323" s="186">
        <f>I324</f>
        <v>30000</v>
      </c>
      <c r="J323" s="186">
        <f>J324</f>
        <v>0</v>
      </c>
      <c r="K323" s="186">
        <f>K324</f>
        <v>0</v>
      </c>
      <c r="L323" s="186">
        <f>L324</f>
        <v>0</v>
      </c>
      <c r="M323" s="186">
        <f>M324</f>
        <v>0</v>
      </c>
      <c r="N323" s="186">
        <f>N324</f>
        <v>0</v>
      </c>
      <c r="O323" s="186">
        <f>O324</f>
        <v>0</v>
      </c>
      <c r="P323" s="186">
        <f>P324</f>
        <v>0</v>
      </c>
      <c r="Q323" s="186">
        <f>Q324</f>
        <v>0</v>
      </c>
      <c r="R323" s="186">
        <f>R324</f>
        <v>0</v>
      </c>
    </row>
    <row r="324" spans="1:18" ht="22.5" customHeight="1">
      <c r="A324" s="246"/>
      <c r="B324" s="188"/>
      <c r="C324" s="188">
        <v>4300</v>
      </c>
      <c r="D324" s="187" t="s">
        <v>269</v>
      </c>
      <c r="E324" s="189">
        <f>F324+O324</f>
        <v>30000</v>
      </c>
      <c r="F324" s="189">
        <f>G324+K324+L324+J324+N324+M324</f>
        <v>30000</v>
      </c>
      <c r="G324" s="189">
        <f>H324+I324</f>
        <v>30000</v>
      </c>
      <c r="H324" s="190"/>
      <c r="I324" s="190">
        <v>30000</v>
      </c>
      <c r="J324" s="190"/>
      <c r="K324" s="190"/>
      <c r="L324" s="190"/>
      <c r="M324" s="190"/>
      <c r="N324" s="190"/>
      <c r="O324" s="190"/>
      <c r="P324" s="192"/>
      <c r="Q324" s="192"/>
      <c r="R324" s="190"/>
    </row>
    <row r="325" spans="1:18" ht="22.5" customHeight="1">
      <c r="A325" s="245"/>
      <c r="B325" s="184">
        <v>90015</v>
      </c>
      <c r="C325" s="184"/>
      <c r="D325" s="196" t="s">
        <v>397</v>
      </c>
      <c r="E325" s="186">
        <f>SUM(E326:E329)</f>
        <v>609666</v>
      </c>
      <c r="F325" s="186">
        <f>SUM(F326:F329)</f>
        <v>609666</v>
      </c>
      <c r="G325" s="186">
        <f>SUM(G326:G329)</f>
        <v>609666</v>
      </c>
      <c r="H325" s="186">
        <f>SUM(H326:H329)</f>
        <v>0</v>
      </c>
      <c r="I325" s="186">
        <f>SUM(I326:I329)</f>
        <v>609666</v>
      </c>
      <c r="J325" s="186">
        <f>SUM(J326:J329)</f>
        <v>0</v>
      </c>
      <c r="K325" s="186">
        <f>SUM(K326:K329)</f>
        <v>0</v>
      </c>
      <c r="L325" s="186">
        <f>SUM(L326:L329)</f>
        <v>0</v>
      </c>
      <c r="M325" s="186">
        <f>SUM(M326:M329)</f>
        <v>0</v>
      </c>
      <c r="N325" s="186">
        <f>SUM(N326:N329)</f>
        <v>0</v>
      </c>
      <c r="O325" s="186">
        <f>SUM(O326:O329)</f>
        <v>0</v>
      </c>
      <c r="P325" s="186">
        <f>SUM(P326:P329)</f>
        <v>0</v>
      </c>
      <c r="Q325" s="186">
        <f>SUM(Q326:Q329)</f>
        <v>0</v>
      </c>
      <c r="R325" s="186">
        <f>SUM(R326:R329)</f>
        <v>0</v>
      </c>
    </row>
    <row r="326" spans="1:18" ht="22.5" customHeight="1">
      <c r="A326" s="246"/>
      <c r="B326" s="188"/>
      <c r="C326" s="188">
        <v>4210</v>
      </c>
      <c r="D326" s="187" t="s">
        <v>273</v>
      </c>
      <c r="E326" s="189">
        <f>F326+O326</f>
        <v>1500</v>
      </c>
      <c r="F326" s="189">
        <f>G326+K326+L326+J326+N326+M326</f>
        <v>1500</v>
      </c>
      <c r="G326" s="189">
        <f>H326+I326</f>
        <v>1500</v>
      </c>
      <c r="H326" s="190"/>
      <c r="I326" s="191">
        <v>1500</v>
      </c>
      <c r="J326" s="190"/>
      <c r="K326" s="190"/>
      <c r="L326" s="190"/>
      <c r="M326" s="190"/>
      <c r="N326" s="190"/>
      <c r="O326" s="190"/>
      <c r="P326" s="192"/>
      <c r="Q326" s="192"/>
      <c r="R326" s="190"/>
    </row>
    <row r="327" spans="1:18" ht="22.5" customHeight="1">
      <c r="A327" s="246"/>
      <c r="B327" s="188"/>
      <c r="C327" s="188">
        <v>4260</v>
      </c>
      <c r="D327" s="187" t="s">
        <v>330</v>
      </c>
      <c r="E327" s="189">
        <f>F327+O327</f>
        <v>372000</v>
      </c>
      <c r="F327" s="189">
        <f>G327+K327+L327+J327+N327+M327</f>
        <v>372000</v>
      </c>
      <c r="G327" s="189">
        <f>H327+I327</f>
        <v>372000</v>
      </c>
      <c r="H327" s="190"/>
      <c r="I327" s="191">
        <v>372000</v>
      </c>
      <c r="J327" s="190"/>
      <c r="K327" s="190"/>
      <c r="L327" s="190"/>
      <c r="M327" s="190"/>
      <c r="N327" s="190"/>
      <c r="O327" s="190"/>
      <c r="P327" s="192"/>
      <c r="Q327" s="192"/>
      <c r="R327" s="190"/>
    </row>
    <row r="328" spans="1:18" ht="22.5" customHeight="1">
      <c r="A328" s="246"/>
      <c r="B328" s="188"/>
      <c r="C328" s="188">
        <v>4270</v>
      </c>
      <c r="D328" s="187" t="s">
        <v>398</v>
      </c>
      <c r="E328" s="189">
        <f>F328+O328</f>
        <v>223000</v>
      </c>
      <c r="F328" s="189">
        <f>G328+K328+L328+J328+N328+M328</f>
        <v>223000</v>
      </c>
      <c r="G328" s="189">
        <f>H328+I328</f>
        <v>223000</v>
      </c>
      <c r="H328" s="190"/>
      <c r="I328" s="191">
        <v>223000</v>
      </c>
      <c r="J328" s="190"/>
      <c r="K328" s="190"/>
      <c r="L328" s="190"/>
      <c r="M328" s="190"/>
      <c r="N328" s="190"/>
      <c r="O328" s="190"/>
      <c r="P328" s="192"/>
      <c r="Q328" s="192"/>
      <c r="R328" s="190"/>
    </row>
    <row r="329" spans="1:18" ht="22.5" customHeight="1">
      <c r="A329" s="246"/>
      <c r="B329" s="188"/>
      <c r="C329" s="188">
        <v>4300</v>
      </c>
      <c r="D329" s="187" t="s">
        <v>269</v>
      </c>
      <c r="E329" s="189">
        <f>F329+O329</f>
        <v>13166</v>
      </c>
      <c r="F329" s="189">
        <f>G329+K329+L329+J329+N329+M329</f>
        <v>13166</v>
      </c>
      <c r="G329" s="189">
        <f>H329+I329</f>
        <v>13166</v>
      </c>
      <c r="H329" s="190"/>
      <c r="I329" s="191">
        <f>2365+5801+5000</f>
        <v>13166</v>
      </c>
      <c r="J329" s="190"/>
      <c r="K329" s="190"/>
      <c r="L329" s="190"/>
      <c r="M329" s="190"/>
      <c r="N329" s="190"/>
      <c r="O329" s="190"/>
      <c r="P329" s="192"/>
      <c r="Q329" s="192"/>
      <c r="R329" s="190"/>
    </row>
    <row r="330" spans="1:18" s="167" customFormat="1" ht="55.5" customHeight="1">
      <c r="A330" s="245"/>
      <c r="B330" s="184">
        <v>90019</v>
      </c>
      <c r="C330" s="184"/>
      <c r="D330" s="247" t="s">
        <v>214</v>
      </c>
      <c r="E330" s="186">
        <f>SUM(E331:E336)</f>
        <v>107500</v>
      </c>
      <c r="F330" s="186">
        <f>SUM(F331:F336)</f>
        <v>107500</v>
      </c>
      <c r="G330" s="186">
        <f>SUM(G331:G336)</f>
        <v>100500</v>
      </c>
      <c r="H330" s="186">
        <f>SUM(H331:H336)</f>
        <v>0</v>
      </c>
      <c r="I330" s="186">
        <f>SUM(I331:I336)</f>
        <v>100500</v>
      </c>
      <c r="J330" s="186">
        <f>SUM(J331:J336)</f>
        <v>7000</v>
      </c>
      <c r="K330" s="186">
        <f>SUM(K331:K336)</f>
        <v>0</v>
      </c>
      <c r="L330" s="186">
        <f>SUM(L331:L336)</f>
        <v>0</v>
      </c>
      <c r="M330" s="186">
        <f>SUM(M331:M336)</f>
        <v>0</v>
      </c>
      <c r="N330" s="186">
        <f>SUM(N331:N336)</f>
        <v>0</v>
      </c>
      <c r="O330" s="186">
        <f>SUM(O331:O336)</f>
        <v>0</v>
      </c>
      <c r="P330" s="186">
        <f>SUM(P331:P336)</f>
        <v>0</v>
      </c>
      <c r="Q330" s="186">
        <f>SUM(Q331:Q336)</f>
        <v>0</v>
      </c>
      <c r="R330" s="186">
        <f>SUM(R331:R336)</f>
        <v>0</v>
      </c>
    </row>
    <row r="331" spans="1:18" s="167" customFormat="1" ht="54" customHeight="1">
      <c r="A331" s="245"/>
      <c r="B331" s="184"/>
      <c r="C331" s="188">
        <v>2820</v>
      </c>
      <c r="D331" s="187" t="s">
        <v>399</v>
      </c>
      <c r="E331" s="189">
        <f>F331+O331</f>
        <v>7000</v>
      </c>
      <c r="F331" s="189">
        <f>G331+K331+L331+J331+N331+M331</f>
        <v>7000</v>
      </c>
      <c r="G331" s="189">
        <f>H331+I331</f>
        <v>0</v>
      </c>
      <c r="H331" s="190"/>
      <c r="I331" s="190"/>
      <c r="J331" s="190">
        <f>'zał 26'!E17</f>
        <v>7000</v>
      </c>
      <c r="K331" s="186"/>
      <c r="L331" s="186"/>
      <c r="M331" s="186"/>
      <c r="N331" s="186"/>
      <c r="O331" s="186"/>
      <c r="P331" s="186"/>
      <c r="Q331" s="186"/>
      <c r="R331" s="186"/>
    </row>
    <row r="332" spans="1:18" ht="22.5" customHeight="1">
      <c r="A332" s="184"/>
      <c r="B332" s="188"/>
      <c r="C332" s="188">
        <v>4210</v>
      </c>
      <c r="D332" s="187" t="s">
        <v>273</v>
      </c>
      <c r="E332" s="189">
        <f>F332+O332</f>
        <v>20000</v>
      </c>
      <c r="F332" s="189">
        <f>G332+K332+L332+J332+N332+M332</f>
        <v>20000</v>
      </c>
      <c r="G332" s="189">
        <f>H332+I332</f>
        <v>20000</v>
      </c>
      <c r="H332" s="190"/>
      <c r="I332" s="190">
        <f>16000+4000</f>
        <v>20000</v>
      </c>
      <c r="J332" s="190"/>
      <c r="K332" s="190"/>
      <c r="L332" s="190"/>
      <c r="M332" s="190"/>
      <c r="N332" s="190"/>
      <c r="O332" s="190"/>
      <c r="P332" s="192"/>
      <c r="Q332" s="192"/>
      <c r="R332" s="191"/>
    </row>
    <row r="333" spans="1:18" ht="22.5" customHeight="1">
      <c r="A333" s="184"/>
      <c r="B333" s="188"/>
      <c r="C333" s="188">
        <v>4260</v>
      </c>
      <c r="D333" s="187" t="s">
        <v>330</v>
      </c>
      <c r="E333" s="189">
        <f>F333+O333</f>
        <v>3000</v>
      </c>
      <c r="F333" s="189">
        <f>G333+K333+L333+J333+N333+M333</f>
        <v>3000</v>
      </c>
      <c r="G333" s="189">
        <f>H333+I333</f>
        <v>3000</v>
      </c>
      <c r="H333" s="190"/>
      <c r="I333" s="190">
        <v>3000</v>
      </c>
      <c r="J333" s="190"/>
      <c r="K333" s="190"/>
      <c r="L333" s="190"/>
      <c r="M333" s="190"/>
      <c r="N333" s="190"/>
      <c r="O333" s="190"/>
      <c r="P333" s="192"/>
      <c r="Q333" s="192"/>
      <c r="R333" s="191"/>
    </row>
    <row r="334" spans="1:18" ht="22.5" customHeight="1">
      <c r="A334" s="184"/>
      <c r="B334" s="188"/>
      <c r="C334" s="188">
        <v>4270</v>
      </c>
      <c r="D334" s="187" t="s">
        <v>275</v>
      </c>
      <c r="E334" s="189">
        <f>F334+O334</f>
        <v>7000</v>
      </c>
      <c r="F334" s="189">
        <f>G334+K334+L334+J334+N334+M334</f>
        <v>7000</v>
      </c>
      <c r="G334" s="189">
        <f>H334+I334</f>
        <v>7000</v>
      </c>
      <c r="H334" s="190"/>
      <c r="I334" s="201">
        <f>7000</f>
        <v>7000</v>
      </c>
      <c r="J334" s="190"/>
      <c r="K334" s="190"/>
      <c r="L334" s="190"/>
      <c r="M334" s="190"/>
      <c r="N334" s="190"/>
      <c r="O334" s="190"/>
      <c r="P334" s="192"/>
      <c r="Q334" s="192"/>
      <c r="R334" s="191"/>
    </row>
    <row r="335" spans="1:18" ht="22.5" customHeight="1">
      <c r="A335" s="184"/>
      <c r="B335" s="188"/>
      <c r="C335" s="188">
        <v>4300</v>
      </c>
      <c r="D335" s="187" t="s">
        <v>269</v>
      </c>
      <c r="E335" s="189">
        <f>F335+O335</f>
        <v>56500</v>
      </c>
      <c r="F335" s="189">
        <f>G335+K335+L335+J335+N335+M335</f>
        <v>56500</v>
      </c>
      <c r="G335" s="189">
        <f>H335+I335</f>
        <v>56500</v>
      </c>
      <c r="H335" s="190"/>
      <c r="I335" s="190">
        <f>8000+11500+8000+16000+7000+6000</f>
        <v>56500</v>
      </c>
      <c r="J335" s="190"/>
      <c r="K335" s="190"/>
      <c r="L335" s="190"/>
      <c r="M335" s="190"/>
      <c r="N335" s="190"/>
      <c r="O335" s="190"/>
      <c r="P335" s="192"/>
      <c r="Q335" s="192"/>
      <c r="R335" s="191"/>
    </row>
    <row r="336" spans="1:18" ht="22.5" customHeight="1">
      <c r="A336" s="246"/>
      <c r="B336" s="187"/>
      <c r="C336" s="188">
        <v>4430</v>
      </c>
      <c r="D336" s="234" t="s">
        <v>277</v>
      </c>
      <c r="E336" s="189">
        <f>F336+O336</f>
        <v>14000</v>
      </c>
      <c r="F336" s="189">
        <f>G336+K336+L336+J336+N336+M336</f>
        <v>14000</v>
      </c>
      <c r="G336" s="189">
        <f>H336+I336</f>
        <v>14000</v>
      </c>
      <c r="H336" s="190"/>
      <c r="I336" s="190">
        <v>14000</v>
      </c>
      <c r="J336" s="190"/>
      <c r="K336" s="190"/>
      <c r="L336" s="190"/>
      <c r="M336" s="190"/>
      <c r="N336" s="190"/>
      <c r="O336" s="190"/>
      <c r="P336" s="192"/>
      <c r="Q336" s="192"/>
      <c r="R336" s="191"/>
    </row>
    <row r="337" spans="1:18" ht="22.5" customHeight="1">
      <c r="A337" s="184"/>
      <c r="B337" s="184">
        <v>90095</v>
      </c>
      <c r="C337" s="184"/>
      <c r="D337" s="196" t="s">
        <v>95</v>
      </c>
      <c r="E337" s="186">
        <f>SUM(E338:E341)</f>
        <v>200875</v>
      </c>
      <c r="F337" s="186">
        <f>SUM(F338:F341)</f>
        <v>200875</v>
      </c>
      <c r="G337" s="186">
        <f>SUM(G338:G341)</f>
        <v>149669</v>
      </c>
      <c r="H337" s="186">
        <f>SUM(H338:H341)</f>
        <v>0</v>
      </c>
      <c r="I337" s="186">
        <f>SUM(I338:I341)</f>
        <v>149669</v>
      </c>
      <c r="J337" s="186">
        <f>SUM(J338:J341)</f>
        <v>0</v>
      </c>
      <c r="K337" s="186">
        <f>SUM(K338:K341)</f>
        <v>0</v>
      </c>
      <c r="L337" s="186">
        <f>SUM(L338:L341)</f>
        <v>0</v>
      </c>
      <c r="M337" s="186">
        <f>SUM(M338:M341)</f>
        <v>51206</v>
      </c>
      <c r="N337" s="186">
        <f>SUM(N338:N341)</f>
        <v>0</v>
      </c>
      <c r="O337" s="186">
        <f>SUM(O338:O341)</f>
        <v>0</v>
      </c>
      <c r="P337" s="186">
        <f>SUM(P338:P341)</f>
        <v>0</v>
      </c>
      <c r="Q337" s="186">
        <f>SUM(Q338:Q341)</f>
        <v>0</v>
      </c>
      <c r="R337" s="186">
        <f>SUM(R338:R341)</f>
        <v>0</v>
      </c>
    </row>
    <row r="338" spans="1:18" ht="22.5" customHeight="1">
      <c r="A338" s="188"/>
      <c r="B338" s="188"/>
      <c r="C338" s="188">
        <v>4210</v>
      </c>
      <c r="D338" s="187" t="s">
        <v>273</v>
      </c>
      <c r="E338" s="189">
        <f>F338+O338</f>
        <v>16669</v>
      </c>
      <c r="F338" s="189">
        <f>G338+K338+L338+J338+N338+M338</f>
        <v>16669</v>
      </c>
      <c r="G338" s="189">
        <f>H338+I338</f>
        <v>16669</v>
      </c>
      <c r="H338" s="190"/>
      <c r="I338" s="190">
        <f>2500+1069+1400+11400+300</f>
        <v>16669</v>
      </c>
      <c r="J338" s="190"/>
      <c r="K338" s="190"/>
      <c r="L338" s="190"/>
      <c r="M338" s="190"/>
      <c r="N338" s="190"/>
      <c r="O338" s="190"/>
      <c r="P338" s="192"/>
      <c r="Q338" s="192"/>
      <c r="R338" s="190"/>
    </row>
    <row r="339" spans="1:18" ht="22.5" customHeight="1">
      <c r="A339" s="188"/>
      <c r="B339" s="188"/>
      <c r="C339" s="188">
        <v>4270</v>
      </c>
      <c r="D339" s="187" t="s">
        <v>398</v>
      </c>
      <c r="E339" s="189">
        <f>F339+O339</f>
        <v>20000</v>
      </c>
      <c r="F339" s="189">
        <f>G339+K339+L339+J339+N339+M339</f>
        <v>20000</v>
      </c>
      <c r="G339" s="189">
        <f>H339+I339</f>
        <v>20000</v>
      </c>
      <c r="H339" s="190"/>
      <c r="I339" s="191">
        <f>10000+10000</f>
        <v>20000</v>
      </c>
      <c r="J339" s="190"/>
      <c r="K339" s="190"/>
      <c r="L339" s="190"/>
      <c r="M339" s="190"/>
      <c r="N339" s="190"/>
      <c r="O339" s="190"/>
      <c r="P339" s="192"/>
      <c r="Q339" s="192"/>
      <c r="R339" s="190"/>
    </row>
    <row r="340" spans="1:18" ht="22.5" customHeight="1">
      <c r="A340" s="188"/>
      <c r="B340" s="188"/>
      <c r="C340" s="188">
        <v>4300</v>
      </c>
      <c r="D340" s="187" t="s">
        <v>400</v>
      </c>
      <c r="E340" s="189">
        <f>F340+O340</f>
        <v>113000</v>
      </c>
      <c r="F340" s="189">
        <f>G340+K340+L340+J340+N340+M340</f>
        <v>113000</v>
      </c>
      <c r="G340" s="189">
        <f>H340+I340</f>
        <v>113000</v>
      </c>
      <c r="H340" s="190"/>
      <c r="I340" s="191">
        <f>93000+10000+10000</f>
        <v>113000</v>
      </c>
      <c r="J340" s="190"/>
      <c r="K340" s="190"/>
      <c r="L340" s="190"/>
      <c r="M340" s="190"/>
      <c r="N340" s="190"/>
      <c r="O340" s="190"/>
      <c r="P340" s="192"/>
      <c r="Q340" s="192"/>
      <c r="R340" s="190"/>
    </row>
    <row r="341" spans="1:18" ht="22.5" customHeight="1">
      <c r="A341" s="184"/>
      <c r="B341" s="188"/>
      <c r="C341" s="188">
        <v>8020</v>
      </c>
      <c r="D341" s="187" t="s">
        <v>278</v>
      </c>
      <c r="E341" s="189">
        <f>F341+O341</f>
        <v>51206</v>
      </c>
      <c r="F341" s="189">
        <f>G341+K341+L341+J341+N341+M341</f>
        <v>51206</v>
      </c>
      <c r="G341" s="189">
        <f>H341+I341</f>
        <v>0</v>
      </c>
      <c r="H341" s="190"/>
      <c r="I341" s="190"/>
      <c r="J341" s="190"/>
      <c r="K341" s="190"/>
      <c r="L341" s="190"/>
      <c r="M341" s="190">
        <v>51206</v>
      </c>
      <c r="N341" s="190"/>
      <c r="O341" s="190"/>
      <c r="P341" s="192"/>
      <c r="Q341" s="192"/>
      <c r="R341" s="190"/>
    </row>
    <row r="342" spans="1:18" ht="22.5" customHeight="1">
      <c r="A342" s="181">
        <v>921</v>
      </c>
      <c r="B342" s="181"/>
      <c r="C342" s="181"/>
      <c r="D342" s="181" t="s">
        <v>220</v>
      </c>
      <c r="E342" s="182">
        <f>E343+E351+E353</f>
        <v>1511011</v>
      </c>
      <c r="F342" s="182">
        <f>F343+F351+F353</f>
        <v>1511011</v>
      </c>
      <c r="G342" s="182">
        <f>G343+G351+G353</f>
        <v>230630</v>
      </c>
      <c r="H342" s="182">
        <f>H343+H351+H353</f>
        <v>0</v>
      </c>
      <c r="I342" s="182">
        <f>I343+I351+I353</f>
        <v>230630</v>
      </c>
      <c r="J342" s="182">
        <f>J343+J351+J353</f>
        <v>1220000</v>
      </c>
      <c r="K342" s="182">
        <f>K343+K351+K353</f>
        <v>0</v>
      </c>
      <c r="L342" s="182">
        <f>L343+L351+L353</f>
        <v>0</v>
      </c>
      <c r="M342" s="182">
        <f>M343+M351+M353</f>
        <v>60381</v>
      </c>
      <c r="N342" s="182">
        <f>N343+N351+N353</f>
        <v>0</v>
      </c>
      <c r="O342" s="182">
        <f>O343+O351+O353</f>
        <v>0</v>
      </c>
      <c r="P342" s="182">
        <f>P343+P351+P353</f>
        <v>0</v>
      </c>
      <c r="Q342" s="182">
        <f>Q343+Q351+Q353</f>
        <v>0</v>
      </c>
      <c r="R342" s="182">
        <f>R343+R351+R353</f>
        <v>0</v>
      </c>
    </row>
    <row r="343" spans="1:18" s="167" customFormat="1" ht="22.5" customHeight="1">
      <c r="A343" s="184"/>
      <c r="B343" s="184">
        <v>92109</v>
      </c>
      <c r="C343" s="184"/>
      <c r="D343" s="196" t="s">
        <v>221</v>
      </c>
      <c r="E343" s="186">
        <f>SUM(E344:E350)</f>
        <v>1368148</v>
      </c>
      <c r="F343" s="186">
        <f>SUM(F344:F350)</f>
        <v>1368148</v>
      </c>
      <c r="G343" s="186">
        <f>SUM(G344:G350)</f>
        <v>107767</v>
      </c>
      <c r="H343" s="186">
        <f>SUM(H344:H350)</f>
        <v>0</v>
      </c>
      <c r="I343" s="186">
        <f>SUM(I344:I350)</f>
        <v>107767</v>
      </c>
      <c r="J343" s="186">
        <f>SUM(J344:J350)</f>
        <v>1200000</v>
      </c>
      <c r="K343" s="186">
        <f>SUM(K344:K350)</f>
        <v>0</v>
      </c>
      <c r="L343" s="186">
        <f>SUM(L344:L350)</f>
        <v>0</v>
      </c>
      <c r="M343" s="186">
        <f>SUM(M344:M350)</f>
        <v>60381</v>
      </c>
      <c r="N343" s="186">
        <f>SUM(N344:N350)</f>
        <v>0</v>
      </c>
      <c r="O343" s="186">
        <f>SUM(O344:O350)</f>
        <v>0</v>
      </c>
      <c r="P343" s="186">
        <f>SUM(P344:P350)</f>
        <v>0</v>
      </c>
      <c r="Q343" s="186">
        <f>SUM(Q344:Q350)</f>
        <v>0</v>
      </c>
      <c r="R343" s="186">
        <f>SUM(R344:R350)</f>
        <v>0</v>
      </c>
    </row>
    <row r="344" spans="1:18" ht="36.75" customHeight="1">
      <c r="A344" s="184"/>
      <c r="B344" s="188"/>
      <c r="C344" s="188">
        <v>2480</v>
      </c>
      <c r="D344" s="187" t="s">
        <v>401</v>
      </c>
      <c r="E344" s="189">
        <f>F344+O344</f>
        <v>1200000</v>
      </c>
      <c r="F344" s="189">
        <f>G344+K344+L344+J344+N344+M344</f>
        <v>1200000</v>
      </c>
      <c r="G344" s="189">
        <f>H344+I344</f>
        <v>0</v>
      </c>
      <c r="H344" s="190"/>
      <c r="I344" s="190"/>
      <c r="J344" s="191">
        <f>'zał 23'!E7</f>
        <v>1200000</v>
      </c>
      <c r="K344" s="190"/>
      <c r="L344" s="190"/>
      <c r="M344" s="201"/>
      <c r="N344" s="191"/>
      <c r="O344" s="191"/>
      <c r="P344" s="192"/>
      <c r="Q344" s="192"/>
      <c r="R344" s="190"/>
    </row>
    <row r="345" spans="1:18" ht="22.5" customHeight="1">
      <c r="A345" s="184"/>
      <c r="B345" s="188"/>
      <c r="C345" s="188">
        <v>4210</v>
      </c>
      <c r="D345" s="187" t="s">
        <v>273</v>
      </c>
      <c r="E345" s="189">
        <f>F345+O345</f>
        <v>42757</v>
      </c>
      <c r="F345" s="189">
        <f>G345+K345+L345+J345+N345+M345</f>
        <v>42757</v>
      </c>
      <c r="G345" s="189">
        <f>H345+I345</f>
        <v>42757</v>
      </c>
      <c r="H345" s="190"/>
      <c r="I345" s="190">
        <f>3574+3562+7574+5090+4620+6700+7909+2228+1500</f>
        <v>42757</v>
      </c>
      <c r="J345" s="207"/>
      <c r="K345" s="207"/>
      <c r="L345" s="207"/>
      <c r="M345" s="190"/>
      <c r="N345" s="190"/>
      <c r="O345" s="190"/>
      <c r="P345" s="192"/>
      <c r="Q345" s="192"/>
      <c r="R345" s="190"/>
    </row>
    <row r="346" spans="1:18" ht="22.5" customHeight="1">
      <c r="A346" s="184"/>
      <c r="B346" s="188"/>
      <c r="C346" s="188">
        <v>4260</v>
      </c>
      <c r="D346" s="187" t="s">
        <v>330</v>
      </c>
      <c r="E346" s="189">
        <f>F346+O346</f>
        <v>32110</v>
      </c>
      <c r="F346" s="189">
        <f>G346+K346+L346+J346+N346+M346</f>
        <v>32110</v>
      </c>
      <c r="G346" s="189">
        <f>H346+I346</f>
        <v>32110</v>
      </c>
      <c r="H346" s="190"/>
      <c r="I346" s="191">
        <f>1000+1900+2200+8280+1674+3562+2300+1194+10000</f>
        <v>32110</v>
      </c>
      <c r="J346" s="190"/>
      <c r="K346" s="190"/>
      <c r="L346" s="190"/>
      <c r="M346" s="190"/>
      <c r="N346" s="190"/>
      <c r="O346" s="190"/>
      <c r="P346" s="192"/>
      <c r="Q346" s="192"/>
      <c r="R346" s="190"/>
    </row>
    <row r="347" spans="1:18" ht="22.5" customHeight="1">
      <c r="A347" s="184"/>
      <c r="B347" s="188"/>
      <c r="C347" s="188">
        <v>4270</v>
      </c>
      <c r="D347" s="187" t="s">
        <v>275</v>
      </c>
      <c r="E347" s="189">
        <f>F347+O347</f>
        <v>5000</v>
      </c>
      <c r="F347" s="189">
        <f>G347+K347+L347+J347+N347+M347</f>
        <v>5000</v>
      </c>
      <c r="G347" s="189">
        <f>H347+I347</f>
        <v>5000</v>
      </c>
      <c r="H347" s="190"/>
      <c r="I347" s="191">
        <v>5000</v>
      </c>
      <c r="J347" s="190"/>
      <c r="K347" s="190"/>
      <c r="L347" s="190"/>
      <c r="M347" s="190"/>
      <c r="N347" s="190"/>
      <c r="O347" s="190"/>
      <c r="P347" s="192"/>
      <c r="Q347" s="192"/>
      <c r="R347" s="190"/>
    </row>
    <row r="348" spans="1:18" ht="22.5" customHeight="1">
      <c r="A348" s="184"/>
      <c r="B348" s="188"/>
      <c r="C348" s="188">
        <v>4300</v>
      </c>
      <c r="D348" s="187" t="s">
        <v>269</v>
      </c>
      <c r="E348" s="189">
        <f>F348+O348</f>
        <v>26900</v>
      </c>
      <c r="F348" s="189">
        <f>G348+K348+L348+J348+N348+M348</f>
        <v>26900</v>
      </c>
      <c r="G348" s="189">
        <f>H348+I348</f>
        <v>26900</v>
      </c>
      <c r="H348" s="190"/>
      <c r="I348" s="191">
        <v>26900</v>
      </c>
      <c r="J348" s="190"/>
      <c r="K348" s="190"/>
      <c r="L348" s="190"/>
      <c r="M348" s="190"/>
      <c r="N348" s="190"/>
      <c r="O348" s="190"/>
      <c r="P348" s="192"/>
      <c r="Q348" s="192"/>
      <c r="R348" s="190"/>
    </row>
    <row r="349" spans="1:18" ht="36.75" customHeight="1">
      <c r="A349" s="188"/>
      <c r="B349" s="188"/>
      <c r="C349" s="188">
        <v>4370</v>
      </c>
      <c r="D349" s="234" t="s">
        <v>385</v>
      </c>
      <c r="E349" s="189">
        <f>F349+O349</f>
        <v>1000</v>
      </c>
      <c r="F349" s="189">
        <f>G349+K349+L349+J349+N349+M349</f>
        <v>1000</v>
      </c>
      <c r="G349" s="189">
        <f>H349+I349</f>
        <v>1000</v>
      </c>
      <c r="H349" s="190"/>
      <c r="I349" s="191">
        <v>1000</v>
      </c>
      <c r="J349" s="190"/>
      <c r="K349" s="190"/>
      <c r="L349" s="190"/>
      <c r="M349" s="190"/>
      <c r="N349" s="190"/>
      <c r="O349" s="190"/>
      <c r="P349" s="192"/>
      <c r="Q349" s="192"/>
      <c r="R349" s="190"/>
    </row>
    <row r="350" spans="1:18" ht="22.5" customHeight="1">
      <c r="A350" s="184"/>
      <c r="B350" s="188"/>
      <c r="C350" s="188">
        <v>8020</v>
      </c>
      <c r="D350" s="187" t="s">
        <v>278</v>
      </c>
      <c r="E350" s="189">
        <f>F350+O350</f>
        <v>60381</v>
      </c>
      <c r="F350" s="189">
        <f>G350+K350+L350+J350+N350+M350</f>
        <v>60381</v>
      </c>
      <c r="G350" s="189">
        <f>H350+I350</f>
        <v>0</v>
      </c>
      <c r="H350" s="190"/>
      <c r="I350" s="190"/>
      <c r="J350" s="190"/>
      <c r="K350" s="190"/>
      <c r="L350" s="190"/>
      <c r="M350" s="190">
        <v>60381</v>
      </c>
      <c r="N350" s="190"/>
      <c r="O350" s="190"/>
      <c r="P350" s="192"/>
      <c r="Q350" s="192"/>
      <c r="R350" s="190"/>
    </row>
    <row r="351" spans="1:18" ht="22.5" customHeight="1">
      <c r="A351" s="184"/>
      <c r="B351" s="184">
        <v>92120</v>
      </c>
      <c r="C351" s="184"/>
      <c r="D351" s="196" t="s">
        <v>402</v>
      </c>
      <c r="E351" s="186">
        <f>SUM(E352:E352)</f>
        <v>12000</v>
      </c>
      <c r="F351" s="186">
        <f>SUM(F352:F352)</f>
        <v>12000</v>
      </c>
      <c r="G351" s="186">
        <f>SUM(G352:G352)</f>
        <v>12000</v>
      </c>
      <c r="H351" s="186">
        <f>SUM(H352:H352)</f>
        <v>0</v>
      </c>
      <c r="I351" s="186">
        <f>SUM(I352:I352)</f>
        <v>12000</v>
      </c>
      <c r="J351" s="186">
        <f>SUM(J352:J352)</f>
        <v>0</v>
      </c>
      <c r="K351" s="186">
        <f>SUM(K352:K352)</f>
        <v>0</v>
      </c>
      <c r="L351" s="186">
        <f>SUM(L352:L352)</f>
        <v>0</v>
      </c>
      <c r="M351" s="186">
        <f>SUM(M352:M352)</f>
        <v>0</v>
      </c>
      <c r="N351" s="186">
        <f>SUM(N352:N352)</f>
        <v>0</v>
      </c>
      <c r="O351" s="186">
        <f>SUM(O352:O352)</f>
        <v>0</v>
      </c>
      <c r="P351" s="186">
        <f>SUM(P352:P352)</f>
        <v>0</v>
      </c>
      <c r="Q351" s="186">
        <f>SUM(Q352:Q352)</f>
        <v>0</v>
      </c>
      <c r="R351" s="186">
        <f>SUM(R352:R352)</f>
        <v>0</v>
      </c>
    </row>
    <row r="352" spans="1:18" ht="22.5" customHeight="1">
      <c r="A352" s="184"/>
      <c r="B352" s="188"/>
      <c r="C352" s="188">
        <v>4270</v>
      </c>
      <c r="D352" s="187" t="s">
        <v>275</v>
      </c>
      <c r="E352" s="189">
        <f>F352+O352</f>
        <v>12000</v>
      </c>
      <c r="F352" s="189">
        <f>G352+K352+L352+J352+N352+M352</f>
        <v>12000</v>
      </c>
      <c r="G352" s="189">
        <f>H352+I352</f>
        <v>12000</v>
      </c>
      <c r="H352" s="190"/>
      <c r="I352" s="191">
        <v>12000</v>
      </c>
      <c r="J352" s="190"/>
      <c r="K352" s="190"/>
      <c r="L352" s="190"/>
      <c r="M352" s="190"/>
      <c r="N352" s="190"/>
      <c r="O352" s="190"/>
      <c r="P352" s="192"/>
      <c r="Q352" s="192"/>
      <c r="R352" s="190"/>
    </row>
    <row r="353" spans="1:18" ht="22.5" customHeight="1">
      <c r="A353" s="184"/>
      <c r="B353" s="184">
        <v>92195</v>
      </c>
      <c r="C353" s="184"/>
      <c r="D353" s="196" t="s">
        <v>95</v>
      </c>
      <c r="E353" s="186">
        <f>SUM(E354:E356)</f>
        <v>130863</v>
      </c>
      <c r="F353" s="186">
        <f>SUM(F354:F356)</f>
        <v>130863</v>
      </c>
      <c r="G353" s="186">
        <f>SUM(G354:G356)</f>
        <v>110863</v>
      </c>
      <c r="H353" s="186">
        <f>SUM(H354:H356)</f>
        <v>0</v>
      </c>
      <c r="I353" s="186">
        <f>SUM(I354:I356)</f>
        <v>110863</v>
      </c>
      <c r="J353" s="186">
        <f>SUM(J354:J356)</f>
        <v>20000</v>
      </c>
      <c r="K353" s="186">
        <f>SUM(K354:K356)</f>
        <v>0</v>
      </c>
      <c r="L353" s="186">
        <f>SUM(L354:L356)</f>
        <v>0</v>
      </c>
      <c r="M353" s="186">
        <f>SUM(M354:M356)</f>
        <v>0</v>
      </c>
      <c r="N353" s="186">
        <f>SUM(N354:N356)</f>
        <v>0</v>
      </c>
      <c r="O353" s="186">
        <f>SUM(O354:O356)</f>
        <v>0</v>
      </c>
      <c r="P353" s="186">
        <f>SUM(P354:P356)</f>
        <v>0</v>
      </c>
      <c r="Q353" s="186">
        <f>SUM(Q354:Q356)</f>
        <v>0</v>
      </c>
      <c r="R353" s="186">
        <f>SUM(R354:R356)</f>
        <v>0</v>
      </c>
    </row>
    <row r="354" spans="1:18" ht="54" customHeight="1">
      <c r="A354" s="188"/>
      <c r="B354" s="188"/>
      <c r="C354" s="188">
        <v>2820</v>
      </c>
      <c r="D354" s="187" t="s">
        <v>365</v>
      </c>
      <c r="E354" s="189">
        <f>F354+O354</f>
        <v>20000</v>
      </c>
      <c r="F354" s="189">
        <f>G354+K354+L354+J354+N354+M354</f>
        <v>20000</v>
      </c>
      <c r="G354" s="189">
        <f>H354+I354</f>
        <v>0</v>
      </c>
      <c r="H354" s="190"/>
      <c r="I354" s="190"/>
      <c r="J354" s="190">
        <f>'zał 26'!E20</f>
        <v>20000</v>
      </c>
      <c r="K354" s="190"/>
      <c r="L354" s="190"/>
      <c r="M354" s="191"/>
      <c r="N354" s="191"/>
      <c r="O354" s="191"/>
      <c r="P354" s="192"/>
      <c r="Q354" s="192"/>
      <c r="R354" s="190"/>
    </row>
    <row r="355" spans="1:18" ht="22.5" customHeight="1">
      <c r="A355" s="188"/>
      <c r="B355" s="188"/>
      <c r="C355" s="188">
        <v>4210</v>
      </c>
      <c r="D355" s="200" t="s">
        <v>403</v>
      </c>
      <c r="E355" s="189">
        <f>F355+O355</f>
        <v>41893</v>
      </c>
      <c r="F355" s="189">
        <f>G355+K355+L355+J355+N355+M355</f>
        <v>41893</v>
      </c>
      <c r="G355" s="189">
        <f>H355+I355</f>
        <v>41893</v>
      </c>
      <c r="H355" s="190"/>
      <c r="I355" s="191">
        <f>2200+2700+900+7909+2200+1300+2200+2600+6700+1400+884+1500+1600+2300+1900+2400+1200</f>
        <v>41893</v>
      </c>
      <c r="J355" s="190"/>
      <c r="K355" s="190"/>
      <c r="L355" s="190"/>
      <c r="M355" s="190"/>
      <c r="N355" s="190"/>
      <c r="O355" s="190"/>
      <c r="P355" s="192"/>
      <c r="Q355" s="192"/>
      <c r="R355" s="190"/>
    </row>
    <row r="356" spans="1:18" ht="22.5" customHeight="1">
      <c r="A356" s="188"/>
      <c r="B356" s="188"/>
      <c r="C356" s="188">
        <v>4300</v>
      </c>
      <c r="D356" s="187" t="s">
        <v>350</v>
      </c>
      <c r="E356" s="189">
        <f>F356+O356</f>
        <v>68970</v>
      </c>
      <c r="F356" s="189">
        <f>G356+K356+L356+J356+N356+M356</f>
        <v>68970</v>
      </c>
      <c r="G356" s="189">
        <f>H356+I356</f>
        <v>68970</v>
      </c>
      <c r="H356" s="190"/>
      <c r="I356" s="191">
        <f>50000+18970</f>
        <v>68970</v>
      </c>
      <c r="J356" s="190"/>
      <c r="K356" s="190"/>
      <c r="L356" s="190"/>
      <c r="M356" s="190"/>
      <c r="N356" s="190"/>
      <c r="O356" s="190"/>
      <c r="P356" s="192"/>
      <c r="Q356" s="192"/>
      <c r="R356" s="190"/>
    </row>
    <row r="357" spans="1:18" ht="22.5" customHeight="1">
      <c r="A357" s="181">
        <v>926</v>
      </c>
      <c r="B357" s="181"/>
      <c r="C357" s="181"/>
      <c r="D357" s="248" t="s">
        <v>223</v>
      </c>
      <c r="E357" s="182">
        <f>E358+E362+E365</f>
        <v>5304180</v>
      </c>
      <c r="F357" s="182">
        <f>F358+F362+F365</f>
        <v>404180</v>
      </c>
      <c r="G357" s="182">
        <f>G358+G362+G365</f>
        <v>341380</v>
      </c>
      <c r="H357" s="182">
        <f>H358+H362+H365</f>
        <v>0</v>
      </c>
      <c r="I357" s="182">
        <f>I358+I362+I365</f>
        <v>341380</v>
      </c>
      <c r="J357" s="182">
        <f>J358+J362+J365</f>
        <v>62800</v>
      </c>
      <c r="K357" s="182">
        <f>K358+K362+K365</f>
        <v>0</v>
      </c>
      <c r="L357" s="182">
        <f>L358+L362+L365</f>
        <v>0</v>
      </c>
      <c r="M357" s="182">
        <f>M358+M362+M365</f>
        <v>0</v>
      </c>
      <c r="N357" s="182">
        <f>N358+N362+N365</f>
        <v>0</v>
      </c>
      <c r="O357" s="182">
        <f>O358+O362+O365</f>
        <v>4900000</v>
      </c>
      <c r="P357" s="182">
        <f>P358+P362+P365</f>
        <v>4900000</v>
      </c>
      <c r="Q357" s="182">
        <f>Q358+Q362+Q365</f>
        <v>1100000</v>
      </c>
      <c r="R357" s="182">
        <f>R358+R362+R365</f>
        <v>0</v>
      </c>
    </row>
    <row r="358" spans="1:18" ht="22.5" customHeight="1">
      <c r="A358" s="184"/>
      <c r="B358" s="184">
        <v>92601</v>
      </c>
      <c r="C358" s="184"/>
      <c r="D358" s="196" t="s">
        <v>224</v>
      </c>
      <c r="E358" s="186">
        <f>SUM(E359:E361)</f>
        <v>4900000</v>
      </c>
      <c r="F358" s="186">
        <f>SUM(F359:F361)</f>
        <v>0</v>
      </c>
      <c r="G358" s="186">
        <f>SUM(G359:G361)</f>
        <v>0</v>
      </c>
      <c r="H358" s="186">
        <f>SUM(H359:H361)</f>
        <v>0</v>
      </c>
      <c r="I358" s="186">
        <f>SUM(I359:I361)</f>
        <v>0</v>
      </c>
      <c r="J358" s="186">
        <f>SUM(J359:J361)</f>
        <v>0</v>
      </c>
      <c r="K358" s="186">
        <f>SUM(K359:K361)</f>
        <v>0</v>
      </c>
      <c r="L358" s="186">
        <f>SUM(L359:L361)</f>
        <v>0</v>
      </c>
      <c r="M358" s="186">
        <f>SUM(M359:M361)</f>
        <v>0</v>
      </c>
      <c r="N358" s="186">
        <f>SUM(N359:N361)</f>
        <v>0</v>
      </c>
      <c r="O358" s="186">
        <f>SUM(O359:O361)</f>
        <v>4900000</v>
      </c>
      <c r="P358" s="186">
        <f>SUM(P359:P361)</f>
        <v>4900000</v>
      </c>
      <c r="Q358" s="186">
        <f>SUM(Q359:Q361)</f>
        <v>1100000</v>
      </c>
      <c r="R358" s="186">
        <f>SUM(R359:R361)</f>
        <v>0</v>
      </c>
    </row>
    <row r="359" spans="1:18" ht="22.5" customHeight="1">
      <c r="A359" s="184"/>
      <c r="B359" s="184"/>
      <c r="C359" s="188">
        <v>6057</v>
      </c>
      <c r="D359" s="187" t="s">
        <v>270</v>
      </c>
      <c r="E359" s="189">
        <f>F359+O359</f>
        <v>1100000</v>
      </c>
      <c r="F359" s="189">
        <f>G359+K359+L359+J359+N359+M359</f>
        <v>0</v>
      </c>
      <c r="G359" s="189">
        <f>H359+I359</f>
        <v>0</v>
      </c>
      <c r="H359" s="186"/>
      <c r="I359" s="186"/>
      <c r="J359" s="186"/>
      <c r="K359" s="186"/>
      <c r="L359" s="186"/>
      <c r="M359" s="186"/>
      <c r="N359" s="186"/>
      <c r="O359" s="190">
        <f>P359+R359</f>
        <v>1100000</v>
      </c>
      <c r="P359" s="190">
        <f>Q359</f>
        <v>1100000</v>
      </c>
      <c r="Q359" s="191">
        <f>'zał 11'!E43</f>
        <v>1100000</v>
      </c>
      <c r="R359" s="186"/>
    </row>
    <row r="360" spans="1:18" ht="22.5" customHeight="1">
      <c r="A360" s="184"/>
      <c r="B360" s="188"/>
      <c r="C360" s="188">
        <v>6059</v>
      </c>
      <c r="D360" s="187" t="s">
        <v>270</v>
      </c>
      <c r="E360" s="189">
        <f>F360+O360</f>
        <v>3800000</v>
      </c>
      <c r="F360" s="189">
        <f>G360+K360+L360+J360+N360+M360</f>
        <v>0</v>
      </c>
      <c r="G360" s="189">
        <f>H360+I360</f>
        <v>0</v>
      </c>
      <c r="H360" s="190"/>
      <c r="I360" s="190"/>
      <c r="J360" s="190"/>
      <c r="K360" s="190"/>
      <c r="L360" s="190"/>
      <c r="M360" s="190"/>
      <c r="N360" s="190"/>
      <c r="O360" s="190">
        <f>P360+R360</f>
        <v>3800000</v>
      </c>
      <c r="P360" s="191">
        <f>'zał 11'!E45</f>
        <v>3800000</v>
      </c>
      <c r="Q360" s="194"/>
      <c r="R360" s="201"/>
    </row>
    <row r="361" spans="1:18" ht="22.5" customHeight="1">
      <c r="A361" s="184"/>
      <c r="B361" s="188"/>
      <c r="C361" s="188">
        <v>4300</v>
      </c>
      <c r="D361" s="187" t="s">
        <v>296</v>
      </c>
      <c r="E361" s="189">
        <f>F361+O361</f>
        <v>0</v>
      </c>
      <c r="F361" s="189">
        <f>G361+K361+L361+J361+N361+M361</f>
        <v>0</v>
      </c>
      <c r="G361" s="189">
        <f>H361+I361</f>
        <v>0</v>
      </c>
      <c r="H361" s="190"/>
      <c r="I361" s="190"/>
      <c r="J361" s="190"/>
      <c r="K361" s="190"/>
      <c r="L361" s="190"/>
      <c r="M361" s="190"/>
      <c r="N361" s="190"/>
      <c r="O361" s="190"/>
      <c r="P361" s="192"/>
      <c r="Q361" s="192"/>
      <c r="R361" s="191"/>
    </row>
    <row r="362" spans="1:18" ht="22.5" customHeight="1">
      <c r="A362" s="184"/>
      <c r="B362" s="184">
        <v>92605</v>
      </c>
      <c r="C362" s="184"/>
      <c r="D362" s="196" t="s">
        <v>225</v>
      </c>
      <c r="E362" s="186">
        <f>E363+E364</f>
        <v>361900</v>
      </c>
      <c r="F362" s="186">
        <f>F363+F364</f>
        <v>361900</v>
      </c>
      <c r="G362" s="186">
        <f>G363+G364</f>
        <v>301900</v>
      </c>
      <c r="H362" s="186">
        <f>H363+H364</f>
        <v>0</v>
      </c>
      <c r="I362" s="186">
        <f>I363+I364</f>
        <v>301900</v>
      </c>
      <c r="J362" s="186">
        <f>J363+J364</f>
        <v>60000</v>
      </c>
      <c r="K362" s="186">
        <f>K363+K364</f>
        <v>0</v>
      </c>
      <c r="L362" s="186">
        <f>L363+L364</f>
        <v>0</v>
      </c>
      <c r="M362" s="186">
        <f>M363+M364</f>
        <v>0</v>
      </c>
      <c r="N362" s="186">
        <f>N363+N364</f>
        <v>0</v>
      </c>
      <c r="O362" s="186">
        <f>O363+O364</f>
        <v>0</v>
      </c>
      <c r="P362" s="186">
        <f>P363+P364</f>
        <v>0</v>
      </c>
      <c r="Q362" s="186">
        <f>Q363+Q364</f>
        <v>0</v>
      </c>
      <c r="R362" s="186">
        <f>R363+R364</f>
        <v>0</v>
      </c>
    </row>
    <row r="363" spans="1:19" ht="54" customHeight="1">
      <c r="A363" s="184"/>
      <c r="B363" s="188"/>
      <c r="C363" s="188">
        <v>2820</v>
      </c>
      <c r="D363" s="187" t="s">
        <v>399</v>
      </c>
      <c r="E363" s="189">
        <f>F363+O363</f>
        <v>60000</v>
      </c>
      <c r="F363" s="189">
        <f>G363+K363+L363+J363+N363+M363</f>
        <v>60000</v>
      </c>
      <c r="G363" s="189">
        <f>H363+I363</f>
        <v>0</v>
      </c>
      <c r="H363" s="190"/>
      <c r="I363" s="190"/>
      <c r="J363" s="190">
        <f>'zał 26'!E23</f>
        <v>60000</v>
      </c>
      <c r="K363" s="190"/>
      <c r="L363" s="190"/>
      <c r="M363" s="191"/>
      <c r="N363" s="191"/>
      <c r="O363" s="191"/>
      <c r="P363" s="208"/>
      <c r="Q363" s="192"/>
      <c r="R363" s="190"/>
      <c r="S363" s="249"/>
    </row>
    <row r="364" spans="1:19" ht="22.5" customHeight="1">
      <c r="A364" s="184"/>
      <c r="B364" s="188"/>
      <c r="C364" s="188">
        <v>4300</v>
      </c>
      <c r="D364" s="187" t="s">
        <v>296</v>
      </c>
      <c r="E364" s="191">
        <f>F364+R364</f>
        <v>301900</v>
      </c>
      <c r="F364" s="189">
        <f>G364+K364+L364+J364+N364</f>
        <v>301900</v>
      </c>
      <c r="G364" s="189">
        <f>H364+I364</f>
        <v>301900</v>
      </c>
      <c r="H364" s="190"/>
      <c r="I364" s="190">
        <f>180000+20000+12900+89000</f>
        <v>301900</v>
      </c>
      <c r="J364" s="190"/>
      <c r="K364" s="190"/>
      <c r="L364" s="190"/>
      <c r="M364" s="191"/>
      <c r="N364" s="191"/>
      <c r="O364" s="191"/>
      <c r="P364" s="208"/>
      <c r="Q364" s="192"/>
      <c r="R364" s="190"/>
      <c r="S364" s="249"/>
    </row>
    <row r="365" spans="1:18" ht="22.5" customHeight="1">
      <c r="A365" s="184"/>
      <c r="B365" s="184">
        <v>92695</v>
      </c>
      <c r="C365" s="184"/>
      <c r="D365" s="196" t="s">
        <v>95</v>
      </c>
      <c r="E365" s="186">
        <f>SUM(E366:E369)</f>
        <v>42280</v>
      </c>
      <c r="F365" s="186">
        <f>SUM(F366:F369)</f>
        <v>42280</v>
      </c>
      <c r="G365" s="186">
        <f>SUM(G366:G369)</f>
        <v>39480</v>
      </c>
      <c r="H365" s="186">
        <f>SUM(H366:H369)</f>
        <v>0</v>
      </c>
      <c r="I365" s="186">
        <f>SUM(I366:I369)</f>
        <v>39480</v>
      </c>
      <c r="J365" s="186">
        <f>SUM(J366:J369)</f>
        <v>2800</v>
      </c>
      <c r="K365" s="186">
        <f>SUM(K366:K369)</f>
        <v>0</v>
      </c>
      <c r="L365" s="186">
        <f>SUM(L366:L369)</f>
        <v>0</v>
      </c>
      <c r="M365" s="186">
        <f>SUM(M366:M369)</f>
        <v>0</v>
      </c>
      <c r="N365" s="186">
        <f>SUM(N366:N369)</f>
        <v>0</v>
      </c>
      <c r="O365" s="186">
        <f>SUM(O366:O369)</f>
        <v>0</v>
      </c>
      <c r="P365" s="186">
        <f>SUM(P366:P369)</f>
        <v>0</v>
      </c>
      <c r="Q365" s="186">
        <f>SUM(Q366:Q369)</f>
        <v>0</v>
      </c>
      <c r="R365" s="186">
        <f>SUM(R366:R369)</f>
        <v>0</v>
      </c>
    </row>
    <row r="366" spans="1:18" ht="54" customHeight="1">
      <c r="A366" s="188"/>
      <c r="B366" s="188"/>
      <c r="C366" s="188">
        <v>2320</v>
      </c>
      <c r="D366" s="187" t="s">
        <v>404</v>
      </c>
      <c r="E366" s="189">
        <f>F366+O366</f>
        <v>2800</v>
      </c>
      <c r="F366" s="189">
        <f>G366+K366+L366+J366+N366+M366</f>
        <v>2800</v>
      </c>
      <c r="G366" s="189">
        <f>H366+I366</f>
        <v>0</v>
      </c>
      <c r="H366" s="190"/>
      <c r="I366" s="190"/>
      <c r="J366" s="191">
        <f>'zał 25'!E14</f>
        <v>2800</v>
      </c>
      <c r="K366" s="190"/>
      <c r="L366" s="190"/>
      <c r="M366" s="201"/>
      <c r="N366" s="191"/>
      <c r="O366" s="191"/>
      <c r="P366" s="192"/>
      <c r="Q366" s="192"/>
      <c r="R366" s="190"/>
    </row>
    <row r="367" spans="1:18" ht="22.5" customHeight="1">
      <c r="A367" s="188"/>
      <c r="B367" s="188"/>
      <c r="C367" s="188">
        <v>4210</v>
      </c>
      <c r="D367" s="187" t="s">
        <v>273</v>
      </c>
      <c r="E367" s="189">
        <f>F367+O367</f>
        <v>27462</v>
      </c>
      <c r="F367" s="189">
        <f>G367+K367+L367+J367+N367+M367</f>
        <v>27462</v>
      </c>
      <c r="G367" s="189">
        <f>H367+I367</f>
        <v>27462</v>
      </c>
      <c r="H367" s="190"/>
      <c r="I367" s="190">
        <f>300+1200+1932+2800+4800+3475+1000+11955</f>
        <v>27462</v>
      </c>
      <c r="J367" s="207"/>
      <c r="K367" s="207"/>
      <c r="L367" s="207"/>
      <c r="M367" s="190"/>
      <c r="N367" s="190"/>
      <c r="O367" s="190"/>
      <c r="P367" s="192"/>
      <c r="Q367" s="192"/>
      <c r="R367" s="190"/>
    </row>
    <row r="368" spans="1:18" ht="22.5" customHeight="1">
      <c r="A368" s="188"/>
      <c r="B368" s="188"/>
      <c r="C368" s="188">
        <v>4270</v>
      </c>
      <c r="D368" s="187" t="s">
        <v>275</v>
      </c>
      <c r="E368" s="189">
        <f>F368+O368</f>
        <v>5000</v>
      </c>
      <c r="F368" s="189">
        <f>G368+K368+L368+J368+N368+M368</f>
        <v>5000</v>
      </c>
      <c r="G368" s="189">
        <f>H368+I368</f>
        <v>5000</v>
      </c>
      <c r="H368" s="190"/>
      <c r="I368" s="191">
        <f>5000</f>
        <v>5000</v>
      </c>
      <c r="J368" s="190"/>
      <c r="K368" s="190"/>
      <c r="L368" s="190"/>
      <c r="M368" s="190"/>
      <c r="N368" s="190"/>
      <c r="O368" s="190"/>
      <c r="P368" s="192"/>
      <c r="Q368" s="192"/>
      <c r="R368" s="190"/>
    </row>
    <row r="369" spans="1:18" ht="22.5" customHeight="1">
      <c r="A369" s="188"/>
      <c r="B369" s="188"/>
      <c r="C369" s="188">
        <v>4300</v>
      </c>
      <c r="D369" s="187" t="s">
        <v>296</v>
      </c>
      <c r="E369" s="189">
        <f>F369+O369</f>
        <v>7018</v>
      </c>
      <c r="F369" s="189">
        <f>G369+K369+L369+J369+N369+M369</f>
        <v>7018</v>
      </c>
      <c r="G369" s="189">
        <f>H369+I369</f>
        <v>7018</v>
      </c>
      <c r="H369" s="190"/>
      <c r="I369" s="191">
        <f>4018+3000</f>
        <v>7018</v>
      </c>
      <c r="J369" s="190"/>
      <c r="K369" s="190"/>
      <c r="L369" s="190"/>
      <c r="M369" s="190"/>
      <c r="N369" s="190"/>
      <c r="O369" s="190"/>
      <c r="P369" s="192"/>
      <c r="Q369" s="192"/>
      <c r="R369" s="190"/>
    </row>
    <row r="370" spans="1:18" ht="22.5" customHeight="1">
      <c r="A370" s="250" t="s">
        <v>228</v>
      </c>
      <c r="B370" s="250"/>
      <c r="C370" s="250"/>
      <c r="D370" s="250"/>
      <c r="E370" s="186">
        <f>E357+E342+E313+E309+E247+E227+E111+E106+E102+E98+E84+E47+E38+E29+E16+E10+E7+E224+E292</f>
        <v>49040652.90629999</v>
      </c>
      <c r="F370" s="186">
        <f>F357+F342+F313+F309+F247+F227+F111+F106+F102+F98+F84+F47+F38+F29+F16+F10+F7+F224+F292</f>
        <v>36787939.90629999</v>
      </c>
      <c r="G370" s="186">
        <f>G357+G342+G313+G309+G247+G227+G111+G106+G102+G98+G84+G47+G38+G29+G16+G10+G7+G224+G292</f>
        <v>28617456.3663</v>
      </c>
      <c r="H370" s="186">
        <f>H357+H342+H313+H309+H247+H227+H111+H106+H102+H98+H84+H47+H38+H29+H16+H10+H7+H224+H292</f>
        <v>18648959.616299998</v>
      </c>
      <c r="I370" s="186">
        <f>I357+I342+I313+I309+I247+I227+I111+I106+I102+I98+I84+I47+I38+I29+I16+I10+I7+I224+I292</f>
        <v>9968496.75</v>
      </c>
      <c r="J370" s="186">
        <f>J357+J342+J313+J309+J247+J227+J111+J106+J102+J98+J84+J47+J38+J29+J16+J10+J7+J224+J292</f>
        <v>3119760.08</v>
      </c>
      <c r="K370" s="186">
        <f>K357+K342+K313+K309+K247+K227+K111+K106+K102+K98+K84+K47+K38+K29+K16+K10+K7+K224+K292</f>
        <v>2440740</v>
      </c>
      <c r="L370" s="186">
        <f>L357+L342+L313+L309+L247+L227+L111+L106+L102+L98+L84+L47+L38+L29+L16+L10+L7+L224+L292</f>
        <v>887554.46</v>
      </c>
      <c r="M370" s="186">
        <f>M357+M342+M313+M309+M247+M227+M111+M106+M102+M98+M84+M47+M38+M29+M16+M10+M7+M224+M292</f>
        <v>443405</v>
      </c>
      <c r="N370" s="186">
        <f>N357+N342+N313+N309+N247+N227+N111+N106+N102+N98+N84+N47+N38+N29+N16+N10+N7+N224+N292</f>
        <v>1498024</v>
      </c>
      <c r="O370" s="186">
        <f>O357+O342+O313+O309+O247+O227+O111+O106+O102+O98+O84+O47+O38+O29+O16+O10+O7+O224+O292</f>
        <v>12252713</v>
      </c>
      <c r="P370" s="186">
        <f>P357+P342+P313+P309+P247+P227+P111+P106+P102+P98+P84+P47+P38+P29+P16+P10+P7+P224+P292</f>
        <v>12252713</v>
      </c>
      <c r="Q370" s="186">
        <f>Q357+Q342+Q313+Q309+Q247+Q227+Q111+Q106+Q102+Q98+Q84+Q47+Q38+Q29+Q16+Q10+Q7+Q224+Q292</f>
        <v>4291613</v>
      </c>
      <c r="R370" s="186">
        <f>R357+R342+R313+R309+R247+R227+R111+R106+R102+R98+R84+R47+R38+R29+R16+R10+R7+R224+R292</f>
        <v>0</v>
      </c>
    </row>
    <row r="373" ht="15">
      <c r="Q373" s="163"/>
    </row>
    <row r="374" ht="15">
      <c r="E374" s="251"/>
    </row>
    <row r="375" ht="15">
      <c r="E375" s="252"/>
    </row>
  </sheetData>
  <mergeCells count="21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370:D370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37"/>
  <headerFooter alignWithMargins="0">
    <oddHeader>&amp;R&amp;"Times New Roman,Normalny"&amp;12Załącznik Nr 7 do projektu uchwały Nr .. Rady Miejskiej w Barlinku z dnia ........grudnia 2010</oddHeader>
    <oddFooter>&amp;C&amp;"Times New Roman,Normalny"&amp;12Strona &amp;P z &amp;N</oddFooter>
  </headerFooter>
  <rowBreaks count="7" manualBreakCount="7">
    <brk id="46" max="255" man="1"/>
    <brk id="97" max="255" man="1"/>
    <brk id="143" max="255" man="1"/>
    <brk id="193" max="255" man="1"/>
    <brk id="226" max="255" man="1"/>
    <brk id="270" max="255" man="1"/>
    <brk id="3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showGridLines="0" defaultGridColor="0" view="pageBreakPreview" zoomScaleSheetLayoutView="100" colorId="15" workbookViewId="0" topLeftCell="A1">
      <pane ySplit="6" topLeftCell="A7" activePane="bottomLeft" state="frozen"/>
      <selection pane="topLeft" activeCell="A1" sqref="A1"/>
      <selection pane="bottomLeft" activeCell="W59" sqref="W59"/>
    </sheetView>
  </sheetViews>
  <sheetFormatPr defaultColWidth="9.00390625" defaultRowHeight="12.75"/>
  <cols>
    <col min="1" max="1" width="5.625" style="38" customWidth="1"/>
    <col min="2" max="2" width="8.75390625" style="38" customWidth="1"/>
    <col min="3" max="3" width="6.875" style="38" customWidth="1"/>
    <col min="4" max="4" width="44.875" style="117" customWidth="1"/>
    <col min="5" max="5" width="14.875" style="117" customWidth="1"/>
    <col min="6" max="6" width="10.625" style="117" customWidth="1"/>
    <col min="7" max="7" width="13.375" style="117" customWidth="1"/>
    <col min="8" max="12" width="10.625" style="117" customWidth="1"/>
    <col min="13" max="13" width="13.375" style="117" customWidth="1"/>
    <col min="14" max="16" width="10.625" style="117" customWidth="1"/>
    <col min="17" max="18" width="12.25390625" style="117" customWidth="1"/>
    <col min="19" max="16384" width="9.00390625" style="38" customWidth="1"/>
  </cols>
  <sheetData>
    <row r="1" spans="1:18" ht="52.5" customHeight="1">
      <c r="A1" s="129" t="s">
        <v>405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5" customHeight="1">
      <c r="A2" s="168" t="s">
        <v>66</v>
      </c>
      <c r="B2" s="168" t="s">
        <v>86</v>
      </c>
      <c r="C2" s="168" t="s">
        <v>87</v>
      </c>
      <c r="D2" s="168" t="s">
        <v>251</v>
      </c>
      <c r="E2" s="168" t="s">
        <v>252</v>
      </c>
      <c r="F2" s="169" t="s">
        <v>253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253" customFormat="1" ht="13.5" customHeight="1">
      <c r="A3" s="168"/>
      <c r="B3" s="168"/>
      <c r="C3" s="168"/>
      <c r="D3" s="168"/>
      <c r="E3" s="168"/>
      <c r="F3" s="170" t="s">
        <v>242</v>
      </c>
      <c r="G3" s="171" t="s">
        <v>90</v>
      </c>
      <c r="H3" s="171"/>
      <c r="I3" s="171"/>
      <c r="J3" s="171"/>
      <c r="K3" s="171"/>
      <c r="L3" s="171"/>
      <c r="M3" s="171"/>
      <c r="N3" s="171"/>
      <c r="O3" s="172" t="s">
        <v>254</v>
      </c>
      <c r="P3" s="171" t="s">
        <v>90</v>
      </c>
      <c r="Q3" s="171"/>
      <c r="R3" s="171"/>
    </row>
    <row r="4" spans="1:18" s="253" customFormat="1" ht="12.75" customHeight="1">
      <c r="A4" s="168"/>
      <c r="B4" s="168"/>
      <c r="C4" s="168"/>
      <c r="D4" s="168"/>
      <c r="E4" s="168"/>
      <c r="F4" s="170"/>
      <c r="G4" s="170" t="s">
        <v>255</v>
      </c>
      <c r="H4" s="171" t="s">
        <v>13</v>
      </c>
      <c r="I4" s="171"/>
      <c r="J4" s="254" t="s">
        <v>256</v>
      </c>
      <c r="K4" s="254" t="s">
        <v>257</v>
      </c>
      <c r="L4" s="254" t="s">
        <v>91</v>
      </c>
      <c r="M4" s="254" t="s">
        <v>258</v>
      </c>
      <c r="N4" s="254" t="s">
        <v>259</v>
      </c>
      <c r="O4" s="172"/>
      <c r="P4" s="254" t="s">
        <v>260</v>
      </c>
      <c r="Q4" s="255" t="s">
        <v>90</v>
      </c>
      <c r="R4" s="254" t="s">
        <v>261</v>
      </c>
    </row>
    <row r="5" spans="1:18" s="253" customFormat="1" ht="78.75">
      <c r="A5" s="168"/>
      <c r="B5" s="168"/>
      <c r="C5" s="168"/>
      <c r="D5" s="168"/>
      <c r="E5" s="168"/>
      <c r="F5" s="170"/>
      <c r="G5" s="170"/>
      <c r="H5" s="172" t="s">
        <v>262</v>
      </c>
      <c r="I5" s="254" t="s">
        <v>263</v>
      </c>
      <c r="J5" s="254"/>
      <c r="K5" s="254"/>
      <c r="L5" s="254"/>
      <c r="M5" s="254"/>
      <c r="N5" s="254"/>
      <c r="O5" s="172"/>
      <c r="P5" s="254"/>
      <c r="Q5" s="256" t="s">
        <v>264</v>
      </c>
      <c r="R5" s="254"/>
    </row>
    <row r="6" spans="1:18" s="119" customFormat="1" ht="12.75">
      <c r="A6" s="257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  <c r="I6" s="257">
        <v>9</v>
      </c>
      <c r="J6" s="257">
        <v>10</v>
      </c>
      <c r="K6" s="257">
        <v>11</v>
      </c>
      <c r="L6" s="257">
        <v>12</v>
      </c>
      <c r="M6" s="257">
        <v>13</v>
      </c>
      <c r="N6" s="257">
        <v>14</v>
      </c>
      <c r="O6" s="257">
        <v>15</v>
      </c>
      <c r="P6" s="257">
        <v>16</v>
      </c>
      <c r="Q6" s="257">
        <v>17</v>
      </c>
      <c r="R6" s="257">
        <v>18</v>
      </c>
    </row>
    <row r="7" spans="1:18" ht="18.75" customHeight="1">
      <c r="A7" s="67">
        <v>750</v>
      </c>
      <c r="B7" s="67"/>
      <c r="C7" s="67"/>
      <c r="D7" s="50" t="s">
        <v>121</v>
      </c>
      <c r="E7" s="51">
        <f>E8</f>
        <v>146200</v>
      </c>
      <c r="F7" s="51">
        <f>F8</f>
        <v>146200</v>
      </c>
      <c r="G7" s="51">
        <f>G8</f>
        <v>146200</v>
      </c>
      <c r="H7" s="51">
        <f>H8</f>
        <v>146200</v>
      </c>
      <c r="I7" s="51">
        <f>I8</f>
        <v>0</v>
      </c>
      <c r="J7" s="51">
        <f>J8</f>
        <v>0</v>
      </c>
      <c r="K7" s="51">
        <f>K8</f>
        <v>0</v>
      </c>
      <c r="L7" s="51">
        <f>L8</f>
        <v>0</v>
      </c>
      <c r="M7" s="51">
        <f>M8</f>
        <v>0</v>
      </c>
      <c r="N7" s="51">
        <f>N8</f>
        <v>0</v>
      </c>
      <c r="O7" s="51">
        <f>O8</f>
        <v>0</v>
      </c>
      <c r="P7" s="51">
        <f>P8</f>
        <v>0</v>
      </c>
      <c r="Q7" s="51">
        <f>Q8</f>
        <v>0</v>
      </c>
      <c r="R7" s="51">
        <f>R8</f>
        <v>0</v>
      </c>
    </row>
    <row r="8" spans="1:18" s="79" customFormat="1" ht="18.75" customHeight="1">
      <c r="A8" s="68"/>
      <c r="B8" s="68">
        <v>75011</v>
      </c>
      <c r="C8" s="68"/>
      <c r="D8" s="53" t="s">
        <v>230</v>
      </c>
      <c r="E8" s="54">
        <f>SUM(E9:E12)</f>
        <v>146200</v>
      </c>
      <c r="F8" s="54">
        <f>SUM(F9:F12)</f>
        <v>146200</v>
      </c>
      <c r="G8" s="54">
        <f>SUM(G9:G12)</f>
        <v>146200</v>
      </c>
      <c r="H8" s="54">
        <f>SUM(H9:H12)</f>
        <v>146200</v>
      </c>
      <c r="I8" s="54">
        <f>SUM(I9:I12)</f>
        <v>0</v>
      </c>
      <c r="J8" s="54">
        <f>SUM(J9:J12)</f>
        <v>0</v>
      </c>
      <c r="K8" s="54">
        <f>SUM(K9:K12)</f>
        <v>0</v>
      </c>
      <c r="L8" s="54">
        <f>SUM(L9:L12)</f>
        <v>0</v>
      </c>
      <c r="M8" s="54">
        <f>SUM(M9:M12)</f>
        <v>0</v>
      </c>
      <c r="N8" s="54">
        <f>SUM(N9:N12)</f>
        <v>0</v>
      </c>
      <c r="O8" s="54">
        <f>SUM(O9:O12)</f>
        <v>0</v>
      </c>
      <c r="P8" s="54">
        <f>SUM(P9:P12)</f>
        <v>0</v>
      </c>
      <c r="Q8" s="54">
        <f>SUM(Q9:Q12)</f>
        <v>0</v>
      </c>
      <c r="R8" s="54">
        <f>SUM(R9:R12)</f>
        <v>0</v>
      </c>
    </row>
    <row r="9" spans="1:18" ht="18" customHeight="1">
      <c r="A9" s="68"/>
      <c r="B9" s="70"/>
      <c r="C9" s="70">
        <v>4010</v>
      </c>
      <c r="D9" s="56" t="s">
        <v>287</v>
      </c>
      <c r="E9" s="258">
        <f>F9+P9</f>
        <v>116000</v>
      </c>
      <c r="F9" s="258">
        <f>G9+K9+L9+J9+N9</f>
        <v>116000</v>
      </c>
      <c r="G9" s="258">
        <f>H9+I9</f>
        <v>116000</v>
      </c>
      <c r="H9" s="57">
        <v>116000</v>
      </c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8" customHeight="1">
      <c r="A10" s="68"/>
      <c r="B10" s="70"/>
      <c r="C10" s="70">
        <v>4040</v>
      </c>
      <c r="D10" s="56" t="s">
        <v>288</v>
      </c>
      <c r="E10" s="258">
        <f>F10+P10</f>
        <v>9400</v>
      </c>
      <c r="F10" s="258">
        <f>G10+K10+L10+J10+N10</f>
        <v>9400</v>
      </c>
      <c r="G10" s="258">
        <f>H10+I10</f>
        <v>9400</v>
      </c>
      <c r="H10" s="57">
        <v>9400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8" customHeight="1">
      <c r="A11" s="68"/>
      <c r="B11" s="70"/>
      <c r="C11" s="70">
        <v>4110</v>
      </c>
      <c r="D11" s="56" t="s">
        <v>289</v>
      </c>
      <c r="E11" s="258">
        <f>F11+P11</f>
        <v>16797</v>
      </c>
      <c r="F11" s="258">
        <f>G11+K11+L11+J11+N11</f>
        <v>16797</v>
      </c>
      <c r="G11" s="258">
        <f>H11+I11</f>
        <v>16797</v>
      </c>
      <c r="H11" s="57">
        <v>16797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8" customHeight="1">
      <c r="A12" s="68"/>
      <c r="B12" s="70"/>
      <c r="C12" s="70">
        <v>4120</v>
      </c>
      <c r="D12" s="56" t="s">
        <v>290</v>
      </c>
      <c r="E12" s="258">
        <f>F12+P12</f>
        <v>4003</v>
      </c>
      <c r="F12" s="258">
        <f>G12+K12+L12+J12+N12</f>
        <v>4003</v>
      </c>
      <c r="G12" s="258">
        <f>H12+I12</f>
        <v>4003</v>
      </c>
      <c r="H12" s="57">
        <v>4003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45.75" customHeight="1">
      <c r="A13" s="67">
        <v>751</v>
      </c>
      <c r="B13" s="67"/>
      <c r="C13" s="67"/>
      <c r="D13" s="122" t="s">
        <v>232</v>
      </c>
      <c r="E13" s="51">
        <f>E14</f>
        <v>3270</v>
      </c>
      <c r="F13" s="51">
        <f>F14</f>
        <v>3270</v>
      </c>
      <c r="G13" s="51">
        <f>G14</f>
        <v>3270</v>
      </c>
      <c r="H13" s="51">
        <f>H14</f>
        <v>3270</v>
      </c>
      <c r="I13" s="51">
        <f>I14</f>
        <v>0</v>
      </c>
      <c r="J13" s="51">
        <f>J14</f>
        <v>0</v>
      </c>
      <c r="K13" s="51">
        <f>K14</f>
        <v>0</v>
      </c>
      <c r="L13" s="51">
        <f>L14</f>
        <v>0</v>
      </c>
      <c r="M13" s="51">
        <f>M14</f>
        <v>0</v>
      </c>
      <c r="N13" s="51">
        <f>N14</f>
        <v>0</v>
      </c>
      <c r="O13" s="51">
        <f>O14</f>
        <v>0</v>
      </c>
      <c r="P13" s="51">
        <f>P14</f>
        <v>0</v>
      </c>
      <c r="Q13" s="51">
        <f>Q14</f>
        <v>0</v>
      </c>
      <c r="R13" s="51">
        <f>R14</f>
        <v>0</v>
      </c>
    </row>
    <row r="14" spans="1:18" ht="30.75" customHeight="1">
      <c r="A14" s="68"/>
      <c r="B14" s="68">
        <v>75101</v>
      </c>
      <c r="C14" s="68"/>
      <c r="D14" s="124" t="s">
        <v>233</v>
      </c>
      <c r="E14" s="54">
        <f>SUM(E15:E16)</f>
        <v>3270</v>
      </c>
      <c r="F14" s="54">
        <f>SUM(F15:F16)</f>
        <v>3270</v>
      </c>
      <c r="G14" s="54">
        <f>SUM(G15:G16)</f>
        <v>3270</v>
      </c>
      <c r="H14" s="54">
        <f>SUM(H15:H16)</f>
        <v>3270</v>
      </c>
      <c r="I14" s="54">
        <f>SUM(I15:I16)</f>
        <v>0</v>
      </c>
      <c r="J14" s="54">
        <f>SUM(J15:J16)</f>
        <v>0</v>
      </c>
      <c r="K14" s="54">
        <f>SUM(K15:K16)</f>
        <v>0</v>
      </c>
      <c r="L14" s="54">
        <f>SUM(L15:L16)</f>
        <v>0</v>
      </c>
      <c r="M14" s="54">
        <f>SUM(M15:M16)</f>
        <v>0</v>
      </c>
      <c r="N14" s="54">
        <f>SUM(N15:N16)</f>
        <v>0</v>
      </c>
      <c r="O14" s="54">
        <f>SUM(O15:O16)</f>
        <v>0</v>
      </c>
      <c r="P14" s="54">
        <f>SUM(P15:P16)</f>
        <v>0</v>
      </c>
      <c r="Q14" s="54">
        <f>SUM(Q15:Q16)</f>
        <v>0</v>
      </c>
      <c r="R14" s="54">
        <f>SUM(R15:R16)</f>
        <v>0</v>
      </c>
    </row>
    <row r="15" spans="1:18" ht="18" customHeight="1">
      <c r="A15" s="259"/>
      <c r="B15" s="70"/>
      <c r="C15" s="70">
        <v>4210</v>
      </c>
      <c r="D15" s="56" t="s">
        <v>273</v>
      </c>
      <c r="E15" s="258">
        <f>F15+P15</f>
        <v>2190</v>
      </c>
      <c r="F15" s="258">
        <f>G15+K15+L15+J15+N15</f>
        <v>2190</v>
      </c>
      <c r="G15" s="258">
        <f>H15+I15</f>
        <v>2190</v>
      </c>
      <c r="H15" s="57">
        <v>2190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" customHeight="1">
      <c r="A16" s="259"/>
      <c r="B16" s="70"/>
      <c r="C16" s="70">
        <v>4300</v>
      </c>
      <c r="D16" s="56" t="s">
        <v>269</v>
      </c>
      <c r="E16" s="57">
        <f>F16+R16</f>
        <v>1080</v>
      </c>
      <c r="F16" s="258">
        <f>G16+K16+L16+J16+N16</f>
        <v>1080</v>
      </c>
      <c r="G16" s="258">
        <f>H16+I16</f>
        <v>1080</v>
      </c>
      <c r="H16" s="57">
        <v>1080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8.75" customHeight="1">
      <c r="A17" s="67">
        <v>852</v>
      </c>
      <c r="B17" s="67"/>
      <c r="C17" s="67"/>
      <c r="D17" s="50" t="s">
        <v>195</v>
      </c>
      <c r="E17" s="51">
        <f>E18+E35+E49+E51</f>
        <v>5718000</v>
      </c>
      <c r="F17" s="51">
        <f>F18+F35+F49+F51</f>
        <v>5718000</v>
      </c>
      <c r="G17" s="51">
        <f>G18+G35+G49+G51</f>
        <v>652140</v>
      </c>
      <c r="H17" s="51">
        <f>H18+H35+H49+H51</f>
        <v>479880</v>
      </c>
      <c r="I17" s="51">
        <f>I18+I35+I49+I51</f>
        <v>0</v>
      </c>
      <c r="J17" s="51">
        <f>J18+J35+J49+J51</f>
        <v>0</v>
      </c>
      <c r="K17" s="51">
        <f>K18+K35+K49+K51</f>
        <v>5065860</v>
      </c>
      <c r="L17" s="51">
        <f>L18+L35+L49+L51</f>
        <v>0</v>
      </c>
      <c r="M17" s="51">
        <f>M18+M35+M49+M51</f>
        <v>0</v>
      </c>
      <c r="N17" s="51">
        <f>N18+N35+N49+N51</f>
        <v>0</v>
      </c>
      <c r="O17" s="51">
        <f>O18+O35+O49+O51</f>
        <v>0</v>
      </c>
      <c r="P17" s="51">
        <f>P18+P35+P49+P51</f>
        <v>0</v>
      </c>
      <c r="Q17" s="51">
        <f>Q18+Q35+Q49+Q51</f>
        <v>0</v>
      </c>
      <c r="R17" s="51">
        <f>R18+R35+R49+R51</f>
        <v>0</v>
      </c>
    </row>
    <row r="18" spans="1:18" ht="18.75" customHeight="1">
      <c r="A18" s="68"/>
      <c r="B18" s="68">
        <v>85203</v>
      </c>
      <c r="C18" s="68"/>
      <c r="D18" s="53" t="s">
        <v>235</v>
      </c>
      <c r="E18" s="54">
        <f>SUM(E19:E34)</f>
        <v>378000</v>
      </c>
      <c r="F18" s="54">
        <f>SUM(F19:F34)</f>
        <v>378000</v>
      </c>
      <c r="G18" s="54">
        <f>SUM(G19:G34)</f>
        <v>378000</v>
      </c>
      <c r="H18" s="54">
        <f>SUM(H19:H34)</f>
        <v>265900</v>
      </c>
      <c r="I18" s="54">
        <f>SUM(I19:I34)</f>
        <v>0</v>
      </c>
      <c r="J18" s="54">
        <f>SUM(J19:J34)</f>
        <v>0</v>
      </c>
      <c r="K18" s="54">
        <f>SUM(K19:K34)</f>
        <v>0</v>
      </c>
      <c r="L18" s="54">
        <f>SUM(L19:L34)</f>
        <v>0</v>
      </c>
      <c r="M18" s="54">
        <f>SUM(M19:M34)</f>
        <v>0</v>
      </c>
      <c r="N18" s="54">
        <f>SUM(N19:N34)</f>
        <v>0</v>
      </c>
      <c r="O18" s="54">
        <f>SUM(O19:O34)</f>
        <v>0</v>
      </c>
      <c r="P18" s="54">
        <f>SUM(P19:P34)</f>
        <v>0</v>
      </c>
      <c r="Q18" s="54">
        <f>SUM(Q19:Q34)</f>
        <v>0</v>
      </c>
      <c r="R18" s="54">
        <f>SUM(R19:R34)</f>
        <v>0</v>
      </c>
    </row>
    <row r="19" spans="1:18" ht="18" customHeight="1">
      <c r="A19" s="259"/>
      <c r="B19" s="70"/>
      <c r="C19" s="70">
        <v>4010</v>
      </c>
      <c r="D19" s="56" t="s">
        <v>287</v>
      </c>
      <c r="E19" s="258">
        <f>F19+P19</f>
        <v>204600</v>
      </c>
      <c r="F19" s="258">
        <f>G19+K19+L19+J19+N19</f>
        <v>204600</v>
      </c>
      <c r="G19" s="258">
        <f>H19+I19</f>
        <v>204600</v>
      </c>
      <c r="H19" s="57">
        <v>204600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8" customHeight="1">
      <c r="A20" s="259"/>
      <c r="B20" s="70"/>
      <c r="C20" s="70">
        <v>4040</v>
      </c>
      <c r="D20" s="56" t="s">
        <v>288</v>
      </c>
      <c r="E20" s="57">
        <f>F20+R20</f>
        <v>12300</v>
      </c>
      <c r="F20" s="258">
        <f>G20+K20+L20+J20+N20</f>
        <v>12300</v>
      </c>
      <c r="G20" s="258">
        <f>H20+I20</f>
        <v>12300</v>
      </c>
      <c r="H20" s="57">
        <v>12300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8" customHeight="1">
      <c r="A21" s="259"/>
      <c r="B21" s="70"/>
      <c r="C21" s="70">
        <v>4110</v>
      </c>
      <c r="D21" s="56" t="s">
        <v>289</v>
      </c>
      <c r="E21" s="57">
        <f>F21+R21</f>
        <v>34000</v>
      </c>
      <c r="F21" s="258">
        <f>G21+K21+L21+J21+N21</f>
        <v>34000</v>
      </c>
      <c r="G21" s="258">
        <f>H21+I21</f>
        <v>34000</v>
      </c>
      <c r="H21" s="57">
        <v>34000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8" customHeight="1">
      <c r="A22" s="259"/>
      <c r="B22" s="70"/>
      <c r="C22" s="70">
        <v>4120</v>
      </c>
      <c r="D22" s="56" t="s">
        <v>290</v>
      </c>
      <c r="E22" s="57">
        <f>F22+R22</f>
        <v>5000</v>
      </c>
      <c r="F22" s="258">
        <f>G22+K22+L22+J22+N22</f>
        <v>5000</v>
      </c>
      <c r="G22" s="258">
        <f>H22+I22</f>
        <v>5000</v>
      </c>
      <c r="H22" s="57">
        <v>5000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8" customHeight="1">
      <c r="A23" s="259"/>
      <c r="B23" s="70"/>
      <c r="C23" s="70">
        <v>4170</v>
      </c>
      <c r="D23" s="56" t="s">
        <v>292</v>
      </c>
      <c r="E23" s="57">
        <f>F23+R23</f>
        <v>10000</v>
      </c>
      <c r="F23" s="258">
        <f>G23+K23+L23+J23+N23</f>
        <v>10000</v>
      </c>
      <c r="G23" s="258">
        <f>H23+I23</f>
        <v>10000</v>
      </c>
      <c r="H23" s="57">
        <v>10000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18" customHeight="1">
      <c r="A24" s="259"/>
      <c r="B24" s="70"/>
      <c r="C24" s="70">
        <v>4210</v>
      </c>
      <c r="D24" s="56" t="s">
        <v>273</v>
      </c>
      <c r="E24" s="57">
        <f>F24+R24</f>
        <v>32500</v>
      </c>
      <c r="F24" s="258">
        <f>G24+K24+L24+J24+N24</f>
        <v>32500</v>
      </c>
      <c r="G24" s="57">
        <v>32500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18" customHeight="1">
      <c r="A25" s="259"/>
      <c r="B25" s="70"/>
      <c r="C25" s="70">
        <v>4260</v>
      </c>
      <c r="D25" s="56" t="s">
        <v>330</v>
      </c>
      <c r="E25" s="57">
        <f>F25+R25</f>
        <v>33000</v>
      </c>
      <c r="F25" s="258">
        <f>G25+K25+L25+J25+N25</f>
        <v>33000</v>
      </c>
      <c r="G25" s="57">
        <v>33000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ht="18" customHeight="1">
      <c r="A26" s="259"/>
      <c r="B26" s="70"/>
      <c r="C26" s="70">
        <v>4270</v>
      </c>
      <c r="D26" s="56" t="s">
        <v>275</v>
      </c>
      <c r="E26" s="57">
        <f>F26+R26</f>
        <v>15000</v>
      </c>
      <c r="F26" s="258">
        <f>G26+K26+L26+J26+N26</f>
        <v>15000</v>
      </c>
      <c r="G26" s="57">
        <v>15000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18" customHeight="1">
      <c r="A27" s="259"/>
      <c r="B27" s="70"/>
      <c r="C27" s="70">
        <v>4280</v>
      </c>
      <c r="D27" s="56" t="s">
        <v>295</v>
      </c>
      <c r="E27" s="57">
        <f>F27+R27</f>
        <v>800</v>
      </c>
      <c r="F27" s="258">
        <f>G27+K27+L27+J27+N27</f>
        <v>800</v>
      </c>
      <c r="G27" s="57">
        <v>800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8" customHeight="1">
      <c r="A28" s="259"/>
      <c r="B28" s="70"/>
      <c r="C28" s="70">
        <v>4300</v>
      </c>
      <c r="D28" s="56" t="s">
        <v>269</v>
      </c>
      <c r="E28" s="57">
        <f>F28+R28</f>
        <v>20000</v>
      </c>
      <c r="F28" s="258">
        <f>G28+K28+L28+J28+N28</f>
        <v>20000</v>
      </c>
      <c r="G28" s="57">
        <v>20000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8" customHeight="1">
      <c r="A29" s="259"/>
      <c r="B29" s="70"/>
      <c r="C29" s="70">
        <v>4350</v>
      </c>
      <c r="D29" s="56" t="s">
        <v>297</v>
      </c>
      <c r="E29" s="57">
        <f>F29+R29</f>
        <v>400</v>
      </c>
      <c r="F29" s="258">
        <f>G29+K29+L29+J29+N29</f>
        <v>400</v>
      </c>
      <c r="G29" s="57">
        <v>400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30.75" customHeight="1">
      <c r="A30" s="259"/>
      <c r="B30" s="70"/>
      <c r="C30" s="70">
        <v>4370</v>
      </c>
      <c r="D30" s="56" t="s">
        <v>406</v>
      </c>
      <c r="E30" s="57">
        <f>F30+R30</f>
        <v>600</v>
      </c>
      <c r="F30" s="258">
        <f>G30+K30+L30+J30+N30</f>
        <v>600</v>
      </c>
      <c r="G30" s="57">
        <v>600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8" customHeight="1">
      <c r="A31" s="259"/>
      <c r="B31" s="70"/>
      <c r="C31" s="70">
        <v>4410</v>
      </c>
      <c r="D31" s="56" t="s">
        <v>301</v>
      </c>
      <c r="E31" s="57">
        <f>F31+R31</f>
        <v>400</v>
      </c>
      <c r="F31" s="258">
        <f>G31+K31+L31+J31+N31</f>
        <v>400</v>
      </c>
      <c r="G31" s="57">
        <v>400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8" customHeight="1">
      <c r="A32" s="259"/>
      <c r="B32" s="70"/>
      <c r="C32" s="70">
        <v>4430</v>
      </c>
      <c r="D32" s="56" t="s">
        <v>277</v>
      </c>
      <c r="E32" s="57">
        <f>F32+R32</f>
        <v>1100</v>
      </c>
      <c r="F32" s="258">
        <f>G32+K32+L32+J32+N32</f>
        <v>1100</v>
      </c>
      <c r="G32" s="57">
        <v>1100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30.75" customHeight="1">
      <c r="A33" s="259"/>
      <c r="B33" s="70"/>
      <c r="C33" s="70">
        <v>4440</v>
      </c>
      <c r="D33" s="56" t="s">
        <v>407</v>
      </c>
      <c r="E33" s="57">
        <f>F33+R33</f>
        <v>7700</v>
      </c>
      <c r="F33" s="258">
        <f>G33+K33+L33+J33+N33</f>
        <v>7700</v>
      </c>
      <c r="G33" s="57">
        <v>7700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30.75" customHeight="1">
      <c r="A34" s="259"/>
      <c r="B34" s="70"/>
      <c r="C34" s="70">
        <v>4700</v>
      </c>
      <c r="D34" s="56" t="s">
        <v>305</v>
      </c>
      <c r="E34" s="57">
        <f>F34+R34</f>
        <v>600</v>
      </c>
      <c r="F34" s="258">
        <f>G34+K34+L34+J34+N34</f>
        <v>600</v>
      </c>
      <c r="G34" s="57">
        <v>600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45.75" customHeight="1">
      <c r="A35" s="260"/>
      <c r="B35" s="68">
        <v>85212</v>
      </c>
      <c r="C35" s="68"/>
      <c r="D35" s="53" t="s">
        <v>408</v>
      </c>
      <c r="E35" s="54">
        <f>SUM(E36:E48)</f>
        <v>5250000</v>
      </c>
      <c r="F35" s="54">
        <f>SUM(F36:F48)</f>
        <v>5250000</v>
      </c>
      <c r="G35" s="54">
        <f>SUM(G36:G48)</f>
        <v>184140</v>
      </c>
      <c r="H35" s="54">
        <f>SUM(H36:H48)</f>
        <v>143930</v>
      </c>
      <c r="I35" s="54">
        <f>SUM(I36:I48)</f>
        <v>0</v>
      </c>
      <c r="J35" s="54">
        <f>SUM(J36:J48)</f>
        <v>0</v>
      </c>
      <c r="K35" s="54">
        <f>SUM(K36:K48)</f>
        <v>5065860</v>
      </c>
      <c r="L35" s="54">
        <f>SUM(L36:L48)</f>
        <v>0</v>
      </c>
      <c r="M35" s="54">
        <f>SUM(M36:M48)</f>
        <v>0</v>
      </c>
      <c r="N35" s="54">
        <f>SUM(N36:N48)</f>
        <v>0</v>
      </c>
      <c r="O35" s="54">
        <f>SUM(O36:O48)</f>
        <v>0</v>
      </c>
      <c r="P35" s="54">
        <f>SUM(P36:P48)</f>
        <v>0</v>
      </c>
      <c r="Q35" s="54">
        <f>SUM(Q36:Q48)</f>
        <v>0</v>
      </c>
      <c r="R35" s="54">
        <f>SUM(R36:R48)</f>
        <v>0</v>
      </c>
    </row>
    <row r="36" spans="1:18" ht="18" customHeight="1">
      <c r="A36" s="259"/>
      <c r="B36" s="70"/>
      <c r="C36" s="70">
        <v>3110</v>
      </c>
      <c r="D36" s="56" t="s">
        <v>378</v>
      </c>
      <c r="E36" s="57">
        <f>F36+R36</f>
        <v>5065860</v>
      </c>
      <c r="F36" s="258">
        <f>G36+K36+L36+J36+N36</f>
        <v>5065860</v>
      </c>
      <c r="G36" s="57"/>
      <c r="H36" s="57"/>
      <c r="I36" s="57"/>
      <c r="J36" s="57"/>
      <c r="K36" s="57">
        <v>5065860</v>
      </c>
      <c r="L36" s="57"/>
      <c r="M36" s="57"/>
      <c r="N36" s="57"/>
      <c r="O36" s="57"/>
      <c r="P36" s="57"/>
      <c r="Q36"/>
      <c r="R36" s="57"/>
    </row>
    <row r="37" spans="1:18" ht="18" customHeight="1">
      <c r="A37" s="259"/>
      <c r="B37" s="70"/>
      <c r="C37" s="70">
        <v>4010</v>
      </c>
      <c r="D37" s="56" t="s">
        <v>287</v>
      </c>
      <c r="E37" s="258">
        <f>F37+P37</f>
        <v>109600</v>
      </c>
      <c r="F37" s="258">
        <f>G37+K37+L37+J37+N37</f>
        <v>109600</v>
      </c>
      <c r="G37" s="258">
        <f>H37+I37</f>
        <v>109600</v>
      </c>
      <c r="H37" s="57">
        <v>109600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8" customHeight="1">
      <c r="A38" s="259"/>
      <c r="B38" s="70"/>
      <c r="C38" s="70">
        <v>4040</v>
      </c>
      <c r="D38" s="56" t="s">
        <v>288</v>
      </c>
      <c r="E38" s="57">
        <f>F38+R38</f>
        <v>12200</v>
      </c>
      <c r="F38" s="258">
        <f>G38+K38+L38+J38+N38</f>
        <v>12200</v>
      </c>
      <c r="G38" s="258">
        <f>H38+I38</f>
        <v>12200</v>
      </c>
      <c r="H38" s="57">
        <v>12200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8" customHeight="1">
      <c r="A39" s="259"/>
      <c r="B39" s="70"/>
      <c r="C39" s="70">
        <v>4110</v>
      </c>
      <c r="D39" s="56" t="s">
        <v>289</v>
      </c>
      <c r="E39" s="57">
        <f>F39+R39</f>
        <v>19150</v>
      </c>
      <c r="F39" s="258">
        <f>G39+K39+L39+J39+N39</f>
        <v>19150</v>
      </c>
      <c r="G39" s="258">
        <f>H39+I39</f>
        <v>19150</v>
      </c>
      <c r="H39" s="57">
        <v>19150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8" customHeight="1">
      <c r="A40" s="259"/>
      <c r="B40" s="70"/>
      <c r="C40" s="70">
        <v>4120</v>
      </c>
      <c r="D40" s="56" t="s">
        <v>290</v>
      </c>
      <c r="E40" s="57">
        <f>F40+R40</f>
        <v>2980</v>
      </c>
      <c r="F40" s="258">
        <f>G40+K40+L40+J40+N40</f>
        <v>2980</v>
      </c>
      <c r="G40" s="258">
        <f>H40+I40</f>
        <v>2980</v>
      </c>
      <c r="H40" s="57">
        <v>2980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8" customHeight="1">
      <c r="A41" s="259"/>
      <c r="B41" s="70"/>
      <c r="C41" s="70">
        <v>4210</v>
      </c>
      <c r="D41" s="56" t="s">
        <v>273</v>
      </c>
      <c r="E41" s="57">
        <f>F41+R41</f>
        <v>15200</v>
      </c>
      <c r="F41" s="258">
        <f>G41+K41+L41+J41+N41</f>
        <v>15200</v>
      </c>
      <c r="G41" s="57">
        <v>15200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8" customHeight="1">
      <c r="A42" s="259"/>
      <c r="B42" s="70"/>
      <c r="C42" s="70">
        <v>4280</v>
      </c>
      <c r="D42" s="56" t="s">
        <v>331</v>
      </c>
      <c r="E42" s="57">
        <f>F42+R42</f>
        <v>200</v>
      </c>
      <c r="F42" s="258">
        <f>G42+K42+L42+J42+N42</f>
        <v>200</v>
      </c>
      <c r="G42" s="57">
        <v>200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8" customHeight="1">
      <c r="A43" s="259"/>
      <c r="B43" s="70"/>
      <c r="C43" s="70">
        <v>4300</v>
      </c>
      <c r="D43" s="56" t="s">
        <v>269</v>
      </c>
      <c r="E43" s="57">
        <f>F43+R43</f>
        <v>15610</v>
      </c>
      <c r="F43" s="258">
        <f>G43+K43+L43+J43+N43</f>
        <v>15610</v>
      </c>
      <c r="G43" s="57">
        <v>15610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30.75" customHeight="1">
      <c r="A44" s="259"/>
      <c r="B44" s="70"/>
      <c r="C44" s="70">
        <v>4370</v>
      </c>
      <c r="D44" s="56" t="s">
        <v>406</v>
      </c>
      <c r="E44" s="57">
        <f>F44+R44</f>
        <v>800</v>
      </c>
      <c r="F44" s="258">
        <f>G44+K44+L44+J44+N44</f>
        <v>800</v>
      </c>
      <c r="G44" s="57">
        <v>800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8" customHeight="1">
      <c r="A45" s="259"/>
      <c r="B45" s="70"/>
      <c r="C45" s="70">
        <v>4410</v>
      </c>
      <c r="D45" s="56" t="s">
        <v>301</v>
      </c>
      <c r="E45" s="57">
        <f>F45+R45</f>
        <v>1200</v>
      </c>
      <c r="F45" s="258">
        <f>G45+K45+L45+J45+N45</f>
        <v>1200</v>
      </c>
      <c r="G45" s="57">
        <v>1200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8" customHeight="1">
      <c r="A46" s="259"/>
      <c r="B46" s="70"/>
      <c r="C46" s="70">
        <v>4430</v>
      </c>
      <c r="D46" s="56" t="s">
        <v>277</v>
      </c>
      <c r="E46" s="57">
        <f>F46+R46</f>
        <v>600</v>
      </c>
      <c r="F46" s="258">
        <f>G46+K46+L46+J46+N46</f>
        <v>600</v>
      </c>
      <c r="G46" s="57">
        <v>600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30.75" customHeight="1">
      <c r="A47" s="259"/>
      <c r="B47" s="70"/>
      <c r="C47" s="70">
        <v>4440</v>
      </c>
      <c r="D47" s="56" t="s">
        <v>334</v>
      </c>
      <c r="E47" s="57">
        <f>F47+R47</f>
        <v>5500</v>
      </c>
      <c r="F47" s="258">
        <f>G47+K47+L47+J47+N47</f>
        <v>5500</v>
      </c>
      <c r="G47" s="57">
        <v>5500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30.75" customHeight="1">
      <c r="A48" s="259"/>
      <c r="B48" s="70"/>
      <c r="C48" s="70">
        <v>4700</v>
      </c>
      <c r="D48" s="56" t="s">
        <v>374</v>
      </c>
      <c r="E48" s="57">
        <f>F48+R48</f>
        <v>1100</v>
      </c>
      <c r="F48" s="258">
        <f>G48+K48+L48+J48+N48</f>
        <v>1100</v>
      </c>
      <c r="G48" s="57">
        <v>1100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45.75" customHeight="1">
      <c r="A49" s="260"/>
      <c r="B49" s="68">
        <v>85213</v>
      </c>
      <c r="C49" s="68"/>
      <c r="D49" s="53" t="s">
        <v>375</v>
      </c>
      <c r="E49" s="54">
        <f>E50</f>
        <v>12000</v>
      </c>
      <c r="F49" s="54">
        <f>F50</f>
        <v>12000</v>
      </c>
      <c r="G49" s="54">
        <f>G50</f>
        <v>12000</v>
      </c>
      <c r="H49" s="54">
        <f>H50</f>
        <v>0</v>
      </c>
      <c r="I49" s="54">
        <f>I50</f>
        <v>0</v>
      </c>
      <c r="J49" s="54">
        <f>J50</f>
        <v>0</v>
      </c>
      <c r="K49" s="54">
        <f>K50</f>
        <v>0</v>
      </c>
      <c r="L49" s="54">
        <f>L50</f>
        <v>0</v>
      </c>
      <c r="M49" s="54">
        <f>M50</f>
        <v>0</v>
      </c>
      <c r="N49" s="54">
        <f>N50</f>
        <v>0</v>
      </c>
      <c r="O49" s="54"/>
      <c r="P49" s="54">
        <f>P50</f>
        <v>0</v>
      </c>
      <c r="Q49" s="54"/>
      <c r="R49" s="54">
        <f>R50</f>
        <v>0</v>
      </c>
    </row>
    <row r="50" spans="1:18" ht="18" customHeight="1">
      <c r="A50" s="259"/>
      <c r="B50" s="70"/>
      <c r="C50" s="70">
        <v>4130</v>
      </c>
      <c r="D50" s="56" t="s">
        <v>376</v>
      </c>
      <c r="E50" s="57">
        <f>F50</f>
        <v>12000</v>
      </c>
      <c r="F50" s="258">
        <f>G50+K50+L50+J50+N50</f>
        <v>12000</v>
      </c>
      <c r="G50" s="57">
        <f>'zał 3'!E18</f>
        <v>12000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30.75" customHeight="1">
      <c r="A51" s="261"/>
      <c r="B51" s="261">
        <v>85228</v>
      </c>
      <c r="C51" s="261"/>
      <c r="D51" s="262" t="s">
        <v>205</v>
      </c>
      <c r="E51" s="263">
        <f>SUM(E52:E56)+SUM(E57:E61)</f>
        <v>78000</v>
      </c>
      <c r="F51" s="263">
        <f>SUM(F52:F56)+SUM(F57:F61)</f>
        <v>78000</v>
      </c>
      <c r="G51" s="263">
        <f>SUM(G52:G56)+SUM(G57:G61)</f>
        <v>78000</v>
      </c>
      <c r="H51" s="263">
        <f>SUM(H52:H56)+SUM(H57:H61)</f>
        <v>70050</v>
      </c>
      <c r="I51" s="263">
        <f>SUM(I52:I56)+SUM(I57:I61)</f>
        <v>0</v>
      </c>
      <c r="J51" s="263">
        <f>SUM(J52:J56)+SUM(J57:J61)</f>
        <v>0</v>
      </c>
      <c r="K51" s="263">
        <f>SUM(K52:K56)+SUM(K57:K61)</f>
        <v>0</v>
      </c>
      <c r="L51" s="263">
        <f>SUM(L52:L56)+SUM(L57:L61)</f>
        <v>0</v>
      </c>
      <c r="M51" s="263">
        <f>SUM(M52:M56)+SUM(M57:M61)</f>
        <v>0</v>
      </c>
      <c r="N51" s="263">
        <f>SUM(N52:N56)+SUM(N57:N61)</f>
        <v>0</v>
      </c>
      <c r="O51" s="263"/>
      <c r="P51" s="263">
        <f>SUM(P52:P56)+SUM(P57:P61)</f>
        <v>0</v>
      </c>
      <c r="Q51" s="263"/>
      <c r="R51" s="263">
        <f>SUM(R52:R56)+SUM(R57:R61)</f>
        <v>0</v>
      </c>
    </row>
    <row r="52" spans="1:18" ht="18" customHeight="1">
      <c r="A52" s="264"/>
      <c r="B52" s="264"/>
      <c r="C52" s="264">
        <v>4010</v>
      </c>
      <c r="D52" s="265" t="s">
        <v>328</v>
      </c>
      <c r="E52" s="258">
        <f>F52+P52</f>
        <v>54700</v>
      </c>
      <c r="F52" s="258">
        <f>G52+K52+L52+J52+N52</f>
        <v>54700</v>
      </c>
      <c r="G52" s="258">
        <f>H52+I52</f>
        <v>54700</v>
      </c>
      <c r="H52" s="266">
        <v>54700</v>
      </c>
      <c r="I52" s="57"/>
      <c r="J52" s="57"/>
      <c r="K52" s="57"/>
      <c r="L52" s="57"/>
      <c r="M52" s="266"/>
      <c r="N52" s="57"/>
      <c r="O52" s="57"/>
      <c r="P52" s="57"/>
      <c r="Q52" s="57"/>
      <c r="R52" s="57"/>
    </row>
    <row r="53" spans="1:18" ht="18" customHeight="1">
      <c r="A53" s="264"/>
      <c r="B53" s="264"/>
      <c r="C53" s="264">
        <v>4040</v>
      </c>
      <c r="D53" s="265" t="s">
        <v>288</v>
      </c>
      <c r="E53" s="258">
        <f>F53+P53</f>
        <v>4600</v>
      </c>
      <c r="F53" s="258">
        <f>G53+K53+L53+J53+N53</f>
        <v>4600</v>
      </c>
      <c r="G53" s="258">
        <f>H53+I53</f>
        <v>4600</v>
      </c>
      <c r="H53" s="266">
        <v>4600</v>
      </c>
      <c r="I53" s="57"/>
      <c r="J53" s="57"/>
      <c r="K53" s="57"/>
      <c r="L53" s="57"/>
      <c r="M53" s="266"/>
      <c r="N53" s="57"/>
      <c r="O53" s="57"/>
      <c r="P53" s="57"/>
      <c r="Q53" s="57"/>
      <c r="R53" s="57"/>
    </row>
    <row r="54" spans="1:18" ht="18" customHeight="1">
      <c r="A54" s="264"/>
      <c r="B54" s="264"/>
      <c r="C54" s="264">
        <v>4110</v>
      </c>
      <c r="D54" s="265" t="s">
        <v>289</v>
      </c>
      <c r="E54" s="258">
        <f>F54+P54</f>
        <v>9300</v>
      </c>
      <c r="F54" s="258">
        <f>G54+K54+L54+J54+N54</f>
        <v>9300</v>
      </c>
      <c r="G54" s="258">
        <f>H54+I54</f>
        <v>9300</v>
      </c>
      <c r="H54" s="57">
        <v>9300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8" customHeight="1">
      <c r="A55" s="264"/>
      <c r="B55" s="264"/>
      <c r="C55" s="264">
        <v>4120</v>
      </c>
      <c r="D55" s="265" t="s">
        <v>290</v>
      </c>
      <c r="E55" s="258">
        <f>F55+P55</f>
        <v>1450</v>
      </c>
      <c r="F55" s="258">
        <f>G55+K55+L55+J55+N55</f>
        <v>1450</v>
      </c>
      <c r="G55" s="258">
        <f>H55+I55</f>
        <v>1450</v>
      </c>
      <c r="H55" s="57">
        <v>1450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8" customHeight="1">
      <c r="A56" s="264"/>
      <c r="B56" s="264"/>
      <c r="C56" s="264">
        <v>4210</v>
      </c>
      <c r="D56" s="265" t="s">
        <v>273</v>
      </c>
      <c r="E56" s="57">
        <f>F56+R56</f>
        <v>1900</v>
      </c>
      <c r="F56" s="258">
        <f>G56+K56+L56+J56+N56</f>
        <v>1900</v>
      </c>
      <c r="G56" s="266">
        <v>1900</v>
      </c>
      <c r="H56" s="266"/>
      <c r="I56" s="266"/>
      <c r="J56" s="266"/>
      <c r="K56" s="266"/>
      <c r="L56" s="266"/>
      <c r="M56" s="57"/>
      <c r="N56" s="57"/>
      <c r="O56" s="57"/>
      <c r="P56" s="57"/>
      <c r="Q56" s="57"/>
      <c r="R56" s="57"/>
    </row>
    <row r="57" spans="1:18" ht="18" customHeight="1">
      <c r="A57" s="264"/>
      <c r="B57" s="264"/>
      <c r="C57" s="264">
        <v>4280</v>
      </c>
      <c r="D57" s="265" t="s">
        <v>409</v>
      </c>
      <c r="E57" s="57">
        <f>F57+R57</f>
        <v>150</v>
      </c>
      <c r="F57" s="258">
        <f>G57+K57+L57+J57+N57</f>
        <v>150</v>
      </c>
      <c r="G57" s="266">
        <v>150</v>
      </c>
      <c r="H57" s="266"/>
      <c r="I57" s="266"/>
      <c r="J57" s="266"/>
      <c r="K57" s="266"/>
      <c r="L57" s="266"/>
      <c r="M57" s="54"/>
      <c r="N57" s="54"/>
      <c r="O57" s="54"/>
      <c r="P57" s="54"/>
      <c r="Q57" s="54"/>
      <c r="R57" s="54"/>
    </row>
    <row r="58" spans="1:18" ht="18" customHeight="1">
      <c r="A58" s="264"/>
      <c r="B58" s="264"/>
      <c r="C58" s="264">
        <v>4300</v>
      </c>
      <c r="D58" s="265" t="s">
        <v>350</v>
      </c>
      <c r="E58" s="57">
        <f>F58+R58</f>
        <v>1600</v>
      </c>
      <c r="F58" s="258">
        <f>G58+K58+L58+J58+N58</f>
        <v>1600</v>
      </c>
      <c r="G58" s="266">
        <v>1600</v>
      </c>
      <c r="H58" s="266"/>
      <c r="I58" s="266"/>
      <c r="J58" s="266"/>
      <c r="K58" s="266"/>
      <c r="L58" s="266"/>
      <c r="M58" s="57"/>
      <c r="N58" s="57"/>
      <c r="O58" s="57"/>
      <c r="P58" s="57"/>
      <c r="Q58" s="57"/>
      <c r="R58" s="57"/>
    </row>
    <row r="59" spans="1:18" ht="18" customHeight="1">
      <c r="A59" s="264"/>
      <c r="B59" s="264"/>
      <c r="C59" s="264">
        <v>4410</v>
      </c>
      <c r="D59" s="265" t="s">
        <v>301</v>
      </c>
      <c r="E59" s="57">
        <f>F59+R59</f>
        <v>400</v>
      </c>
      <c r="F59" s="258">
        <f>G59+K59+L59+J59+N59</f>
        <v>400</v>
      </c>
      <c r="G59" s="266">
        <v>400</v>
      </c>
      <c r="H59" s="266"/>
      <c r="I59" s="266"/>
      <c r="J59" s="266"/>
      <c r="K59" s="266"/>
      <c r="L59" s="266"/>
      <c r="M59" s="57"/>
      <c r="N59" s="57"/>
      <c r="O59" s="57"/>
      <c r="P59" s="57"/>
      <c r="Q59" s="57"/>
      <c r="R59" s="57"/>
    </row>
    <row r="60" spans="1:18" ht="30.75" customHeight="1">
      <c r="A60" s="264"/>
      <c r="B60" s="264"/>
      <c r="C60" s="264">
        <v>4440</v>
      </c>
      <c r="D60" s="265" t="s">
        <v>334</v>
      </c>
      <c r="E60" s="57">
        <f>F60+R60</f>
        <v>3300</v>
      </c>
      <c r="F60" s="258">
        <f>G60+K60+L60+J60+N60</f>
        <v>3300</v>
      </c>
      <c r="G60" s="266">
        <v>3300</v>
      </c>
      <c r="H60" s="266"/>
      <c r="I60" s="266"/>
      <c r="J60" s="266"/>
      <c r="K60" s="266"/>
      <c r="L60" s="266"/>
      <c r="M60" s="57"/>
      <c r="N60" s="57"/>
      <c r="O60" s="57"/>
      <c r="P60" s="57"/>
      <c r="Q60" s="57"/>
      <c r="R60" s="57"/>
    </row>
    <row r="61" spans="1:18" ht="30.75" customHeight="1">
      <c r="A61" s="264"/>
      <c r="B61" s="264"/>
      <c r="C61" s="70">
        <v>4700</v>
      </c>
      <c r="D61" s="56" t="s">
        <v>374</v>
      </c>
      <c r="E61" s="57">
        <f>F61+R61</f>
        <v>600</v>
      </c>
      <c r="F61" s="258">
        <f>G61+K61+L61+J61+N61</f>
        <v>600</v>
      </c>
      <c r="G61" s="57">
        <v>600</v>
      </c>
      <c r="H61" s="266"/>
      <c r="I61" s="266"/>
      <c r="J61" s="266"/>
      <c r="K61" s="266"/>
      <c r="L61" s="266"/>
      <c r="M61" s="57"/>
      <c r="N61" s="57"/>
      <c r="O61" s="57"/>
      <c r="P61" s="57"/>
      <c r="Q61" s="57"/>
      <c r="R61" s="57"/>
    </row>
    <row r="62" spans="1:18" ht="18" customHeight="1">
      <c r="A62" s="128" t="s">
        <v>228</v>
      </c>
      <c r="B62" s="128"/>
      <c r="C62" s="128"/>
      <c r="D62" s="128"/>
      <c r="E62" s="54">
        <f>E17+E7+E13</f>
        <v>5867470</v>
      </c>
      <c r="F62" s="54">
        <f>F17+F7+F13</f>
        <v>5867470</v>
      </c>
      <c r="G62" s="54">
        <f>G17+G7+G13</f>
        <v>801610</v>
      </c>
      <c r="H62" s="54">
        <f>H17+H7+H13</f>
        <v>629350</v>
      </c>
      <c r="I62" s="54">
        <f>I17+I7+I13</f>
        <v>0</v>
      </c>
      <c r="J62" s="54">
        <f>J17+J7+J13</f>
        <v>0</v>
      </c>
      <c r="K62" s="54">
        <f>K17+K7+K13</f>
        <v>5065860</v>
      </c>
      <c r="L62" s="54">
        <f>L17+L7+L13</f>
        <v>0</v>
      </c>
      <c r="M62" s="54">
        <f>M17+M7+M13</f>
        <v>0</v>
      </c>
      <c r="N62" s="54">
        <f>N17+N7+N13</f>
        <v>0</v>
      </c>
      <c r="O62" s="54">
        <f>O17+O7+O13</f>
        <v>0</v>
      </c>
      <c r="P62" s="54">
        <f>P17+P7+P13</f>
        <v>0</v>
      </c>
      <c r="Q62" s="54">
        <f>Q17+Q7+Q13</f>
        <v>0</v>
      </c>
      <c r="R62" s="54">
        <f>R17+R7+R13</f>
        <v>0</v>
      </c>
    </row>
  </sheetData>
  <mergeCells count="21">
    <mergeCell ref="A1:R1"/>
    <mergeCell ref="A2:A5"/>
    <mergeCell ref="B2:B5"/>
    <mergeCell ref="C2:C5"/>
    <mergeCell ref="D2:D5"/>
    <mergeCell ref="E2:E5"/>
    <mergeCell ref="F2:R2"/>
    <mergeCell ref="F3:F5"/>
    <mergeCell ref="G3:N3"/>
    <mergeCell ref="O3:O5"/>
    <mergeCell ref="P3:R3"/>
    <mergeCell ref="G4:G5"/>
    <mergeCell ref="H4:I4"/>
    <mergeCell ref="J4:J5"/>
    <mergeCell ref="K4:K5"/>
    <mergeCell ref="L4:L5"/>
    <mergeCell ref="M4:M5"/>
    <mergeCell ref="N4:N5"/>
    <mergeCell ref="P4:P5"/>
    <mergeCell ref="R4:R5"/>
    <mergeCell ref="A62:D62"/>
  </mergeCells>
  <printOptions horizontalCentered="1"/>
  <pageMargins left="0.5902777777777778" right="0.5902777777777778" top="0.9854166666666666" bottom="0.7569444444444444" header="0.5902777777777778" footer="0.5902777777777778"/>
  <pageSetup horizontalDpi="300" verticalDpi="300" orientation="landscape" paperSize="9" scale="59"/>
  <headerFooter alignWithMargins="0">
    <oddHeader>&amp;R&amp;"Times New Roman,Normalny"&amp;12Załącznik Nr 8 do projektu uchwały Nr . Rady Miejskiej w Barlinku z dnia ........grudnia 2010</oddHeader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Patrzałek</dc:creator>
  <cp:keywords/>
  <dc:description/>
  <cp:lastModifiedBy/>
  <cp:lastPrinted>2010-12-15T06:42:50Z</cp:lastPrinted>
  <dcterms:created xsi:type="dcterms:W3CDTF">1998-12-09T14:02:10Z</dcterms:created>
  <dcterms:modified xsi:type="dcterms:W3CDTF">2010-12-15T06:47:31Z</dcterms:modified>
  <cp:category/>
  <cp:version/>
  <cp:contentType/>
  <cp:contentStatus/>
  <cp:revision>746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315365592</vt:r8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