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1_WPF" sheetId="1" r:id="rId1"/>
    <sheet name="załacznik 2" sheetId="2" r:id="rId2"/>
    <sheet name="załcznika 2a" sheetId="3" r:id="rId3"/>
  </sheets>
  <definedNames>
    <definedName name="_xlnm.Print_Area" localSheetId="0">'zał_1_WPF'!$A$1:$R$85</definedName>
    <definedName name="Excel_BuiltIn_Print_Area_1_1">'zał_1_WPF'!$A$1:$J$85</definedName>
  </definedNames>
  <calcPr fullCalcOnLoad="1"/>
</workbook>
</file>

<file path=xl/sharedStrings.xml><?xml version="1.0" encoding="utf-8"?>
<sst xmlns="http://schemas.openxmlformats.org/spreadsheetml/2006/main" count="997" uniqueCount="208">
  <si>
    <t>WIELOLETNIA PROGNOZA FINANSOWA GMINY Barlinek</t>
  </si>
  <si>
    <t>Przepływy pieniężne i kwota długu</t>
  </si>
  <si>
    <t>Lp.</t>
  </si>
  <si>
    <t>Wyszczególnienie</t>
  </si>
  <si>
    <t>Wykonanie</t>
  </si>
  <si>
    <t>2010 rok (przewidywane wykonanie)</t>
  </si>
  <si>
    <t>2011 rok</t>
  </si>
  <si>
    <t xml:space="preserve">    Prognoza </t>
  </si>
  <si>
    <t>2008 rok</t>
  </si>
  <si>
    <t xml:space="preserve">2009 rok </t>
  </si>
  <si>
    <t>2012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</si>
  <si>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</si>
  <si>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</si>
  <si>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</si>
  <si>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</si>
  <si>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</si>
  <si>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</si>
  <si>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</si>
  <si>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</si>
  <si>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2021 rok</t>
  </si>
  <si>
    <t>2022 rok</t>
  </si>
  <si>
    <t>2023 rok</t>
  </si>
  <si>
    <t>1.</t>
  </si>
  <si>
    <t xml:space="preserve">Dochody ogółem 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</si>
  <si>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</si>
  <si>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</si>
  <si>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</si>
  <si>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</si>
  <si>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</si>
  <si>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</si>
  <si>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</si>
  <si>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</si>
  <si>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</si>
  <si>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</si>
  <si>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</si>
  <si>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</si>
  <si>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 xml:space="preserve">2.3. </t>
  </si>
  <si>
    <t xml:space="preserve">Przedsięwzięcia, o których mowa w art. 226 ust. 4 ufp (wydatki bieżące z wyłączeniem wieloletnich gwarancji i poręczeń)                         </t>
  </si>
  <si>
    <t>wieloletnie programy finansowane z udziałem środków, o których mowa w art.. 5 ust. 1 pkt 2 i 3 ufp</t>
  </si>
  <si>
    <t>wieloletnie umowy o partnerstwie publiczno - prywatnym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</si>
  <si>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</si>
  <si>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</si>
  <si>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</si>
  <si>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</si>
  <si>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</si>
  <si>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kwota kontrolna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</si>
  <si>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</si>
  <si>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>4.</t>
  </si>
  <si>
    <t>Przychody nie zwiększające długu</t>
  </si>
  <si>
    <t>4.1.</t>
  </si>
  <si>
    <t>Nadwyżki budżetowe z lat poprzednich</t>
  </si>
  <si>
    <t>4.2.</t>
  </si>
  <si>
    <t>Wolne środki</t>
  </si>
  <si>
    <t xml:space="preserve">4.3. </t>
  </si>
  <si>
    <t xml:space="preserve">Prywatyzacja i spłaty udzielonych pożyczek </t>
  </si>
  <si>
    <t>5.</t>
  </si>
  <si>
    <t>Środki do dyspozycji - źródło finansowania spłaty długu i wydatków majątkowych  (poz. 3 + poz. 4)</t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</si>
  <si>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</si>
  <si>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t>6.</t>
  </si>
  <si>
    <t>Obsługa długu (wydatki i rozchody)</t>
  </si>
  <si>
    <t>6.1.</t>
  </si>
  <si>
    <t>Wydatki związane z obsługą długu</t>
  </si>
  <si>
    <t>6.1.1</t>
  </si>
  <si>
    <t>- odsetki i dyskonto</t>
  </si>
  <si>
    <t>podlegające wyłączeniu (w związku z umową zawartą na realizację projektu z udziałem środków, o których mowa w art.5 ust.1 pkt 2 ufp)</t>
  </si>
  <si>
    <t>6.1.2</t>
  </si>
  <si>
    <t>- gwarancje i poręczenia (bez ujętych w przedsięwzięciach)</t>
  </si>
  <si>
    <t xml:space="preserve"> podlegające wyłączeniu (w związku z umową zawartą na realizację projektu z udziałem środków, o których mowa w art.5 ust.1 pkt 2 ufp)</t>
  </si>
  <si>
    <t>6.1.3.</t>
  </si>
  <si>
    <t xml:space="preserve">- wieloletnie gwarancje i poręczenia będące przedsięwzięciami, o których mowa w art. 226 ust. 4 ufp                             </t>
  </si>
  <si>
    <t>podlegające wyłączeniu (w związku z umową  zawartą na realizację projektu z udziałem środków, o których mowa w art.5 ust.1 pkt 2 ufp)</t>
  </si>
  <si>
    <t>6.2.</t>
  </si>
  <si>
    <t>Rozchody zmniejszające dług (spłata rat kredytów i pożyczek, wykup papierów)</t>
  </si>
  <si>
    <t>podlegająca wyłączeniu (w związku z umową zawartą na realizację projektu z udziałem środków, o których mowa w art.5 ust.1 pkt 2 ufp)</t>
  </si>
  <si>
    <t xml:space="preserve">7. </t>
  </si>
  <si>
    <t>Pozostałe rozchody (z wyłączeniem spłat długu)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</si>
  <si>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</si>
  <si>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t>8.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</si>
  <si>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</si>
  <si>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</si>
  <si>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</si>
  <si>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</si>
  <si>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</si>
  <si>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wieloletnie programy finansowane z udziałem środków,  o których mowa w art.. 5 ust. 1 pkt 2 i 3 ufp</t>
  </si>
  <si>
    <t>pozostałe wieloletnie programy, projekty, zadania</t>
  </si>
  <si>
    <t>9.2.</t>
  </si>
  <si>
    <t>Pozostałe wydatki majątkowe</t>
  </si>
  <si>
    <t>10.</t>
  </si>
  <si>
    <t>Przychody zwiększające dług (nowo zaciągane kredyty, pożyczki, emitowane papiery)</t>
  </si>
  <si>
    <t>11.</t>
  </si>
  <si>
    <t>Wynik finansowy budżetu (poz.8 - poz.9 + poz.10)</t>
  </si>
  <si>
    <t>PROGNOZA KWOTY DŁUGU I JEJ SPŁAT</t>
  </si>
  <si>
    <t>12.</t>
  </si>
  <si>
    <t>Kwota długu na koniec roku</t>
  </si>
  <si>
    <t>13.</t>
  </si>
  <si>
    <t xml:space="preserve">Kwota spłaty długu </t>
  </si>
  <si>
    <t>14.</t>
  </si>
  <si>
    <t>Sposób sfinansowania spłaty długu (kwota powinna być zgodna z kwotą wykazaną w poz. 13)</t>
  </si>
  <si>
    <r>
      <t xml:space="preserve">- nadwyżki budżetowe </t>
    </r>
    <r>
      <rPr>
        <b/>
        <sz val="13"/>
        <color indexed="8"/>
        <rFont val="Times New Roman"/>
        <family val="1"/>
      </rPr>
      <t>(</t>
    </r>
    <r>
      <rPr>
        <sz val="13"/>
        <color indexed="8"/>
        <rFont val="Times New Roman"/>
        <family val="1"/>
      </rPr>
      <t>wówczas gdy skumulowany wynik budżetu powiększony o wynik roku jest nadwyżką - wartość dodatnia</t>
    </r>
    <r>
      <rPr>
        <b/>
        <sz val="13"/>
        <color indexed="8"/>
        <rFont val="Times New Roman"/>
        <family val="1"/>
      </rPr>
      <t>)</t>
    </r>
  </si>
  <si>
    <t>- wolne środki</t>
  </si>
  <si>
    <t>- przychody z prywatyzacji i spłat udzielonych pożyczek</t>
  </si>
  <si>
    <t>- przychody z tytułu kredytów, pożyczek, emitowane papiery wartościowe</t>
  </si>
  <si>
    <t>15.</t>
  </si>
  <si>
    <t>Kwota długu związku doliczana do długu j.s.t. (wymóg art. 244 ufp)</t>
  </si>
  <si>
    <t>x</t>
  </si>
  <si>
    <t>16.</t>
  </si>
  <si>
    <t xml:space="preserve">Kwota spłaty długu związku doliczonego do długu </t>
  </si>
  <si>
    <t>17.</t>
  </si>
  <si>
    <t>Wskaźniki zadłużenia</t>
  </si>
  <si>
    <t>17.1.</t>
  </si>
  <si>
    <t>Relacja, o której mowa w art. 169 ustawy z 30 czerwca 2005 r. o finansach publicznych (bez wyłączeń)</t>
  </si>
  <si>
    <t>Relacja, o której mowa w art. 169 ustawy z 30 czerwca 2005 r.               o finansach publicznych po wyłączeniach (max 15%)</t>
  </si>
  <si>
    <t>17.2.</t>
  </si>
  <si>
    <t>Relacja, o której mowa w art. 170 ustawy z 30 czerwca 2005 r. o finansach publicznych (bez wyłączeń)</t>
  </si>
  <si>
    <t>Relacja, o której mowa w art. 170 ustawy z 30 czerwca 2005 r. o finansach publicznych po wyłączeniach (max 60%)</t>
  </si>
  <si>
    <t>17.3.</t>
  </si>
  <si>
    <t>Relacja bazowa do wyliczenia Indywidualnego Limitu Zadłużenia [(poz.1 + poz.3 - poz. 4) : poz.I.]</t>
  </si>
  <si>
    <t>17.4.</t>
  </si>
  <si>
    <t>Indywidualny limit zadłużenia, o którym mowa w art..243 ust. 1 ustawy z 27 sierpnia 2009 r. o finansach publicznych w % (średnia z trzech poprzednich lat)</t>
  </si>
  <si>
    <t>17.5.</t>
  </si>
  <si>
    <t>Relacja, o której mowa w art. 243 ust. 1 ustawy  z 27 sierpnia 2009 r. w %  (bez wyłączeń i kwoty długu związku)</t>
  </si>
  <si>
    <t>Relacja, o której mowa w art. 243 ust.1 ustawy z 27 sierpnia 2009  r. o finansach publicznych po wyłączeniach (bez długu związku)</t>
  </si>
  <si>
    <t xml:space="preserve">Planowane dochody, wydatki, przychody i rozchody </t>
  </si>
  <si>
    <t xml:space="preserve">18. </t>
  </si>
  <si>
    <t>19.</t>
  </si>
  <si>
    <t>Wydatki ogółem</t>
  </si>
  <si>
    <t>w tym:  przedsięwzięcia ogółem (sprawdzenie zgodności z kwotami z załącznika nr 2)</t>
  </si>
  <si>
    <t>20.</t>
  </si>
  <si>
    <t>Wynik budżetu (nadwyżka + / deficyt -)</t>
  </si>
  <si>
    <t>21.</t>
  </si>
  <si>
    <t>Przychody ogółem</t>
  </si>
  <si>
    <t>22.</t>
  </si>
  <si>
    <t>Rozchody ogółem</t>
  </si>
  <si>
    <t xml:space="preserve">suma kontrolna </t>
  </si>
  <si>
    <t>Równowaga budżetowa (sprawdzenie: wykonanie D-W+P-R ≥0; prognoza  D-W+P-R=0 )</t>
  </si>
  <si>
    <r>
      <t>Kwota obliczona zgodnie z art. 242 ust. 1 ufp (dochody bieżące - wydatki bieżące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</si>
  <si>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PRZEDSIĘWZIĘCIA REALIZOWANE W LATACH 2011 -2023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</si>
  <si>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</si>
  <si>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</si>
  <si>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</si>
  <si>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</si>
  <si>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</si>
  <si>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od</t>
  </si>
  <si>
    <t>do</t>
  </si>
  <si>
    <t>Wieloletnie programy, projekty lub zadania razem, z tego:</t>
  </si>
  <si>
    <t>- wydatki bieżące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</si>
  <si>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</si>
  <si>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</si>
  <si>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</si>
  <si>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</si>
  <si>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>Gmina Barlinek</t>
  </si>
  <si>
    <t>X</t>
  </si>
  <si>
    <t xml:space="preserve">  z tego:</t>
  </si>
  <si>
    <t>1)</t>
  </si>
  <si>
    <t>Program Operacyjny Kapitał Ludzki</t>
  </si>
  <si>
    <t>- wydatki majątkowe</t>
  </si>
  <si>
    <t>2)</t>
  </si>
  <si>
    <t>Regionalny Program Operacyjny (RPO)</t>
  </si>
  <si>
    <t>3)</t>
  </si>
  <si>
    <t>Program Rozwoju Obszarów Wiejskich na lata 2007-2013.</t>
  </si>
  <si>
    <t>4)</t>
  </si>
  <si>
    <t>Programu „Europejskiej Współpracy Terytorialnej” – „Współpraca Transgraniczna” Krajów Meklemburgia – Pomorze Przednie/ Brandenburgia i Rzeczpospolitej Polskiej (Województwo Zachodniopomorskie) 2007 – 2013.</t>
  </si>
  <si>
    <t>5)</t>
  </si>
  <si>
    <t>Program Operacyjny Infrastruktura i Środowisko „Termomodernizacja obiektów użyteczności publicznej Powiatu Myśliborskiego: Termomodernizacja Szkoły Podstawowej Nr 1 i  Gimnazjum Publicznego Nr 1”</t>
  </si>
  <si>
    <t>b)</t>
  </si>
  <si>
    <t>wieloletnie programy, projekty lub zadania związane z umowami partnerstwa publiczno-prywatnego - razem, z tego:</t>
  </si>
  <si>
    <t>program (nazwa …. + wyszczególnienie wydatków na jego realizację)</t>
  </si>
  <si>
    <t>c)</t>
  </si>
  <si>
    <t>wieloletnie pozostałe programy, projekty lub zadania - razem, z tego: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</si>
  <si>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</si>
  <si>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</si>
  <si>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 xml:space="preserve">- wydatki bieżące </t>
  </si>
  <si>
    <t>e)</t>
  </si>
  <si>
    <t>wieloletnie gwarancje i poręczenia udzielane przez j.s.t. - razem - wydatki bieżące, z tego:</t>
  </si>
  <si>
    <t>Umowa (nazwa + wyszczególnienie wydatków na program) …. - razem</t>
  </si>
  <si>
    <t>Program Operacyjny Kapitał Ludzki (OPS)</t>
  </si>
  <si>
    <t>Remont nawierzchni ulic, chodników i parkingów terenu starego miasta.</t>
  </si>
  <si>
    <t>Zagospodarowanie Parku w Delcie Młynówki.</t>
  </si>
  <si>
    <t>Przebudowa ulic Żabiej i Podwale wraz z budową parkingów i zagospodarowaniem terenu.</t>
  </si>
  <si>
    <t>Zagospodarowanie terenu wraz z ogrodzeniem przy Szkole Podstawowej Nr 1 w Barlinku.</t>
  </si>
  <si>
    <t>Modernizacja (termomodernizacja) , remont dachu budynku Przedszkola Miejskiego Nr 2 w Barlinku oraz zagospodarowanie terenu.</t>
  </si>
  <si>
    <t>6)</t>
  </si>
  <si>
    <t>Modernizacja (termomodernizacja) Ośrodka Pomocy Społecznej.</t>
  </si>
  <si>
    <t>7)</t>
  </si>
  <si>
    <t>Przebudowa ulicy Flukowskiego.</t>
  </si>
  <si>
    <t>8)</t>
  </si>
  <si>
    <t>Przebudowa ulicy Łokietka.</t>
  </si>
  <si>
    <t>3.1)</t>
  </si>
  <si>
    <t>Poprawa zagospodarowania infrastruktury sportowej wsi Mostkowo w gminie Barlinek.</t>
  </si>
  <si>
    <t>3.2)</t>
  </si>
  <si>
    <t>Rozbudowa oraz zmiana sposobu użytkowania budynku usługowego na świetlicę wiejską wraz z jej wyposażeniem i zagospodarowaniem terenu w miejscowości Dzikowo, gmina Barlinek.</t>
  </si>
  <si>
    <t>3.3)</t>
  </si>
  <si>
    <t>Zagospodarowanie parku oraz konserwacja ruin kościoła w Równie.</t>
  </si>
  <si>
    <t>3.4)</t>
  </si>
  <si>
    <t>Zagospodarowanie terenów parkowych w miejscowości Dzikowo i Mostkowo, gmina Barlinek.</t>
  </si>
  <si>
    <t>Biblioteka miejska w Barlinku- zmiana sposobu użytkowanie budynku przy ul. Gorzowskiej</t>
  </si>
  <si>
    <t>Uzbrojenie terenów na Osiedlu Górny Taras</t>
  </si>
  <si>
    <t>Rekultywacja nieczynnych składowisk odpadów w miejscowościach Rychnów i Strąpie</t>
  </si>
  <si>
    <t>Zagospodarowanie terenu przy Publicznym Gimnazjum nr 1 w Barlinku wraz z przebudową trybun.</t>
  </si>
  <si>
    <t>Modernizacja strażnicy OSP w Barlinku na potrzeby Gminnego Centrum Ratownictwa.</t>
  </si>
  <si>
    <t>Budowa ulicy Wiśniowej</t>
  </si>
  <si>
    <t>Adaptacja budynku usługowo – mieszkalnego na cele administracyjne -Urząd Miejski.</t>
  </si>
  <si>
    <t>Zaopatrzenie w wodę mieszkańców m. Okunie gm. Barlinek</t>
  </si>
  <si>
    <t>Umowa na utrzymanie cmentarzy - razem, w tym:</t>
  </si>
  <si>
    <t>Umowa oczyszczanie miasta - razem, w tym:</t>
  </si>
  <si>
    <t>Umowa utrzymanie zieleni w miastach i gminach - razem, w tym:</t>
  </si>
  <si>
    <t>Umowa konserwację oświetlenia - razem, w tym:</t>
  </si>
  <si>
    <t>Umowa utrzymanie kanalizacji deszczowej - razem, w tym: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</si>
</sst>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9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9"/>
      <name val="Czcionka tekstu podstawowego"/>
      <family val="0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61">
    <xf numFmtId="164" fontId="0" fillId="0" borderId="0" xfId="0" applyAlignment="1">
      <alignment/>
    </xf>
    <xf numFmtId="164" fontId="3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vertical="center" wrapText="1"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 applyProtection="1">
      <alignment horizontal="center" vertical="center" wrapText="1"/>
      <protection/>
    </xf>
    <xf numFmtId="165" fontId="7" fillId="0" borderId="1" xfId="0" applyNumberFormat="1" applyFont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vertical="center" wrapText="1"/>
      <protection/>
    </xf>
    <xf numFmtId="166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Alignment="1" applyProtection="1">
      <alignment vertical="center" wrapText="1"/>
      <protection/>
    </xf>
    <xf numFmtId="164" fontId="8" fillId="0" borderId="1" xfId="0" applyFont="1" applyBorder="1" applyAlignment="1" applyProtection="1">
      <alignment vertical="center" wrapText="1"/>
      <protection/>
    </xf>
    <xf numFmtId="166" fontId="10" fillId="0" borderId="1" xfId="20" applyNumberFormat="1" applyFont="1" applyBorder="1" applyAlignment="1">
      <alignment horizontal="center" vertical="center"/>
      <protection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vertical="center" wrapText="1"/>
      <protection/>
    </xf>
    <xf numFmtId="166" fontId="10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>
      <alignment/>
    </xf>
    <xf numFmtId="164" fontId="11" fillId="0" borderId="1" xfId="0" applyFont="1" applyBorder="1" applyAlignment="1" applyProtection="1">
      <alignment horizontal="right" vertical="center" wrapText="1"/>
      <protection/>
    </xf>
    <xf numFmtId="164" fontId="12" fillId="0" borderId="0" xfId="0" applyFont="1" applyAlignment="1" applyProtection="1">
      <alignment vertical="center" wrapText="1"/>
      <protection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3" borderId="1" xfId="0" applyFont="1" applyFill="1" applyBorder="1" applyAlignment="1" applyProtection="1">
      <alignment horizontal="center" vertical="center" textRotation="90" wrapText="1"/>
      <protection/>
    </xf>
    <xf numFmtId="164" fontId="14" fillId="3" borderId="1" xfId="0" applyFont="1" applyFill="1" applyBorder="1" applyAlignment="1" applyProtection="1">
      <alignment horizontal="right" vertical="center" wrapText="1"/>
      <protection/>
    </xf>
    <xf numFmtId="166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vertical="center" wrapText="1"/>
      <protection/>
    </xf>
    <xf numFmtId="164" fontId="18" fillId="0" borderId="0" xfId="0" applyFont="1" applyAlignment="1">
      <alignment/>
    </xf>
    <xf numFmtId="164" fontId="19" fillId="3" borderId="1" xfId="0" applyFont="1" applyFill="1" applyBorder="1" applyAlignment="1" applyProtection="1">
      <alignment horizontal="right" vertical="center" wrapText="1"/>
      <protection/>
    </xf>
    <xf numFmtId="16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Border="1" applyAlignment="1" applyProtection="1">
      <alignment vertical="center" wrapText="1"/>
      <protection/>
    </xf>
    <xf numFmtId="166" fontId="7" fillId="0" borderId="1" xfId="0" applyNumberFormat="1" applyFont="1" applyBorder="1" applyAlignment="1" applyProtection="1">
      <alignment horizontal="center" vertical="center" wrapText="1"/>
      <protection/>
    </xf>
    <xf numFmtId="166" fontId="9" fillId="0" borderId="0" xfId="0" applyNumberFormat="1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6" fontId="3" fillId="0" borderId="0" xfId="0" applyNumberFormat="1" applyFont="1" applyAlignment="1" applyProtection="1">
      <alignment vertical="center" wrapText="1"/>
      <protection/>
    </xf>
    <xf numFmtId="164" fontId="21" fillId="0" borderId="1" xfId="0" applyFont="1" applyBorder="1" applyAlignment="1" applyProtection="1">
      <alignment horizontal="right" vertical="center" wrapText="1"/>
      <protection/>
    </xf>
    <xf numFmtId="166" fontId="21" fillId="0" borderId="1" xfId="0" applyNumberFormat="1" applyFont="1" applyBorder="1" applyAlignment="1" applyProtection="1">
      <alignment horizontal="right" vertical="center" wrapText="1"/>
      <protection/>
    </xf>
    <xf numFmtId="166" fontId="22" fillId="0" borderId="1" xfId="0" applyNumberFormat="1" applyFont="1" applyBorder="1" applyAlignment="1" applyProtection="1">
      <alignment vertical="center" wrapText="1"/>
      <protection/>
    </xf>
    <xf numFmtId="166" fontId="23" fillId="0" borderId="0" xfId="0" applyNumberFormat="1" applyFont="1" applyAlignment="1" applyProtection="1">
      <alignment vertical="center" wrapText="1"/>
      <protection/>
    </xf>
    <xf numFmtId="164" fontId="23" fillId="0" borderId="0" xfId="0" applyFont="1" applyAlignment="1" applyProtection="1">
      <alignment vertical="center" wrapText="1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166" fontId="10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vertical="center" wrapText="1"/>
      <protection/>
    </xf>
    <xf numFmtId="166" fontId="21" fillId="0" borderId="1" xfId="0" applyNumberFormat="1" applyFont="1" applyBorder="1" applyAlignment="1" applyProtection="1">
      <alignment horizontal="center" vertical="center" wrapText="1"/>
      <protection/>
    </xf>
    <xf numFmtId="166" fontId="22" fillId="0" borderId="1" xfId="0" applyNumberFormat="1" applyFont="1" applyBorder="1" applyAlignment="1" applyProtection="1">
      <alignment horizontal="center" vertical="center" wrapText="1"/>
      <protection/>
    </xf>
    <xf numFmtId="166" fontId="23" fillId="0" borderId="0" xfId="0" applyNumberFormat="1" applyFont="1" applyAlignment="1" applyProtection="1">
      <alignment horizontal="center" vertical="center" wrapText="1"/>
      <protection/>
    </xf>
    <xf numFmtId="164" fontId="7" fillId="3" borderId="1" xfId="0" applyFont="1" applyFill="1" applyBorder="1" applyAlignment="1" applyProtection="1">
      <alignment horizontal="center" vertical="center" textRotation="90" wrapText="1"/>
      <protection/>
    </xf>
    <xf numFmtId="166" fontId="7" fillId="3" borderId="1" xfId="0" applyNumberFormat="1" applyFont="1" applyFill="1" applyBorder="1" applyAlignment="1" applyProtection="1">
      <alignment horizontal="center" vertical="center" wrapText="1"/>
      <protection/>
    </xf>
    <xf numFmtId="166" fontId="13" fillId="3" borderId="1" xfId="0" applyNumberFormat="1" applyFont="1" applyFill="1" applyBorder="1" applyAlignment="1" applyProtection="1">
      <alignment horizontal="center" vertical="center" wrapText="1"/>
      <protection/>
    </xf>
    <xf numFmtId="166" fontId="9" fillId="2" borderId="0" xfId="0" applyNumberFormat="1" applyFont="1" applyFill="1" applyAlignment="1" applyProtection="1">
      <alignment vertical="center" wrapText="1"/>
      <protection/>
    </xf>
    <xf numFmtId="166" fontId="8" fillId="0" borderId="1" xfId="0" applyNumberFormat="1" applyFont="1" applyBorder="1" applyAlignment="1" applyProtection="1">
      <alignment vertical="center" wrapText="1"/>
      <protection/>
    </xf>
    <xf numFmtId="16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0" applyNumberFormat="1" applyFont="1" applyFill="1" applyBorder="1" applyAlignment="1" applyProtection="1">
      <alignment vertical="center" wrapText="1"/>
      <protection/>
    </xf>
    <xf numFmtId="164" fontId="22" fillId="0" borderId="1" xfId="0" applyFont="1" applyBorder="1" applyAlignment="1" applyProtection="1">
      <alignment horizontal="center" vertical="center" wrapText="1"/>
      <protection/>
    </xf>
    <xf numFmtId="166" fontId="8" fillId="0" borderId="1" xfId="0" applyNumberFormat="1" applyFont="1" applyBorder="1" applyAlignment="1" applyProtection="1">
      <alignment horizontal="left" vertical="center" wrapText="1"/>
      <protection/>
    </xf>
    <xf numFmtId="166" fontId="3" fillId="0" borderId="0" xfId="0" applyNumberFormat="1" applyFont="1" applyAlignment="1" applyProtection="1">
      <alignment horizontal="center" vertical="center" wrapText="1"/>
      <protection/>
    </xf>
    <xf numFmtId="166" fontId="22" fillId="0" borderId="1" xfId="0" applyNumberFormat="1" applyFont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horizontal="center" vertical="center" wrapText="1"/>
      <protection/>
    </xf>
    <xf numFmtId="166" fontId="22" fillId="2" borderId="1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wrapText="1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26" fillId="0" borderId="0" xfId="0" applyFont="1" applyBorder="1" applyAlignment="1" applyProtection="1">
      <alignment horizontal="center" vertical="center" wrapText="1"/>
      <protection locked="0"/>
    </xf>
    <xf numFmtId="164" fontId="27" fillId="0" borderId="0" xfId="0" applyFont="1" applyBorder="1" applyAlignment="1" applyProtection="1">
      <alignment horizontal="center" vertical="center"/>
      <protection locked="0"/>
    </xf>
    <xf numFmtId="164" fontId="18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 wrapText="1"/>
    </xf>
    <xf numFmtId="164" fontId="28" fillId="0" borderId="1" xfId="0" applyFont="1" applyBorder="1" applyAlignment="1">
      <alignment wrapText="1"/>
    </xf>
    <xf numFmtId="166" fontId="28" fillId="0" borderId="1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27" fillId="0" borderId="0" xfId="0" applyFont="1" applyAlignment="1">
      <alignment wrapText="1"/>
    </xf>
    <xf numFmtId="164" fontId="6" fillId="0" borderId="1" xfId="0" applyFont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/>
    </xf>
    <xf numFmtId="166" fontId="27" fillId="0" borderId="0" xfId="0" applyNumberFormat="1" applyFont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vertical="center" wrapText="1"/>
    </xf>
    <xf numFmtId="164" fontId="28" fillId="0" borderId="1" xfId="0" applyFont="1" applyBorder="1" applyAlignment="1">
      <alignment vertical="center" wrapText="1"/>
    </xf>
    <xf numFmtId="164" fontId="28" fillId="0" borderId="1" xfId="0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166" fontId="18" fillId="0" borderId="0" xfId="0" applyNumberFormat="1" applyFont="1" applyBorder="1" applyAlignment="1" applyProtection="1">
      <alignment horizontal="center" vertical="center" wrapText="1"/>
      <protection locked="0"/>
    </xf>
    <xf numFmtId="164" fontId="28" fillId="0" borderId="1" xfId="0" applyFont="1" applyBorder="1" applyAlignment="1" applyProtection="1">
      <alignment vertical="top" wrapText="1"/>
      <protection locked="0"/>
    </xf>
    <xf numFmtId="164" fontId="6" fillId="0" borderId="1" xfId="0" applyFont="1" applyBorder="1" applyAlignment="1" applyProtection="1">
      <alignment vertical="top" wrapText="1"/>
      <protection locked="0"/>
    </xf>
    <xf numFmtId="164" fontId="6" fillId="0" borderId="1" xfId="0" applyFont="1" applyBorder="1" applyAlignment="1" applyProtection="1">
      <alignment horizontal="center" wrapText="1"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8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27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/>
    </xf>
    <xf numFmtId="164" fontId="29" fillId="0" borderId="0" xfId="0" applyFont="1" applyBorder="1" applyAlignment="1" applyProtection="1">
      <alignment horizontal="center" vertical="center" wrapText="1"/>
      <protection locked="0"/>
    </xf>
    <xf numFmtId="164" fontId="30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vertical="center" wrapText="1"/>
    </xf>
    <xf numFmtId="164" fontId="30" fillId="0" borderId="1" xfId="0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0" borderId="0" xfId="0" applyNumberFormat="1" applyFont="1" applyBorder="1" applyAlignment="1">
      <alignment horizontal="center" vertical="center" wrapText="1"/>
    </xf>
    <xf numFmtId="164" fontId="30" fillId="0" borderId="0" xfId="0" applyFont="1" applyAlignment="1">
      <alignment vertical="center" wrapText="1"/>
    </xf>
    <xf numFmtId="164" fontId="31" fillId="0" borderId="1" xfId="0" applyFont="1" applyBorder="1" applyAlignment="1">
      <alignment wrapText="1"/>
    </xf>
    <xf numFmtId="166" fontId="31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30" fillId="0" borderId="1" xfId="0" applyFont="1" applyBorder="1" applyAlignment="1">
      <alignment horizontal="center" vertical="top" wrapText="1"/>
    </xf>
    <xf numFmtId="164" fontId="30" fillId="0" borderId="1" xfId="0" applyFont="1" applyBorder="1" applyAlignment="1">
      <alignment vertical="top" wrapText="1"/>
    </xf>
    <xf numFmtId="166" fontId="7" fillId="0" borderId="0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 vertical="center" wrapText="1"/>
    </xf>
    <xf numFmtId="164" fontId="30" fillId="0" borderId="1" xfId="0" applyFont="1" applyBorder="1" applyAlignment="1" applyProtection="1">
      <alignment vertical="center" wrapText="1"/>
      <protection locked="0"/>
    </xf>
    <xf numFmtId="164" fontId="30" fillId="0" borderId="1" xfId="0" applyFont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Border="1" applyAlignment="1" applyProtection="1">
      <alignment horizontal="center" vertical="center" wrapText="1"/>
      <protection/>
    </xf>
    <xf numFmtId="166" fontId="32" fillId="0" borderId="0" xfId="0" applyNumberFormat="1" applyFont="1" applyBorder="1" applyAlignment="1" applyProtection="1">
      <alignment horizontal="center" vertical="center" wrapText="1"/>
      <protection/>
    </xf>
    <xf numFmtId="164" fontId="32" fillId="0" borderId="0" xfId="0" applyFont="1" applyAlignment="1">
      <alignment vertical="center" wrapText="1"/>
    </xf>
    <xf numFmtId="164" fontId="31" fillId="0" borderId="1" xfId="0" applyFont="1" applyBorder="1" applyAlignment="1">
      <alignment vertical="center" wrapText="1"/>
    </xf>
    <xf numFmtId="164" fontId="31" fillId="0" borderId="1" xfId="0" applyFont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Border="1" applyAlignment="1" applyProtection="1">
      <alignment horizontal="center" vertical="center"/>
      <protection locked="0"/>
    </xf>
    <xf numFmtId="164" fontId="31" fillId="0" borderId="1" xfId="0" applyFont="1" applyBorder="1" applyAlignment="1" applyProtection="1">
      <alignment vertical="top" wrapText="1"/>
      <protection locked="0"/>
    </xf>
    <xf numFmtId="164" fontId="30" fillId="0" borderId="1" xfId="0" applyFont="1" applyBorder="1" applyAlignment="1">
      <alignment horizontal="right" vertical="top" wrapText="1"/>
    </xf>
    <xf numFmtId="164" fontId="30" fillId="0" borderId="1" xfId="0" applyFont="1" applyBorder="1" applyAlignment="1" applyProtection="1">
      <alignment vertical="top" wrapText="1"/>
      <protection locked="0"/>
    </xf>
    <xf numFmtId="166" fontId="27" fillId="0" borderId="0" xfId="0" applyNumberFormat="1" applyFont="1" applyBorder="1" applyAlignment="1" applyProtection="1">
      <alignment horizontal="center" vertical="center" wrapText="1"/>
      <protection locked="0"/>
    </xf>
    <xf numFmtId="164" fontId="31" fillId="0" borderId="1" xfId="0" applyFont="1" applyBorder="1" applyAlignment="1">
      <alignment horizontal="right" vertical="center" wrapText="1"/>
    </xf>
    <xf numFmtId="164" fontId="30" fillId="0" borderId="1" xfId="0" applyFont="1" applyBorder="1" applyAlignment="1">
      <alignment horizontal="right" vertical="center" wrapText="1"/>
    </xf>
    <xf numFmtId="164" fontId="33" fillId="0" borderId="0" xfId="0" applyFont="1" applyAlignment="1">
      <alignment vertical="center" wrapText="1"/>
    </xf>
    <xf numFmtId="164" fontId="31" fillId="0" borderId="1" xfId="0" applyFont="1" applyBorder="1" applyAlignment="1">
      <alignment horizontal="center" vertical="center" wrapText="1"/>
    </xf>
    <xf numFmtId="166" fontId="31" fillId="0" borderId="1" xfId="0" applyNumberFormat="1" applyFont="1" applyBorder="1" applyAlignment="1" applyProtection="1">
      <alignment horizontal="center" vertical="center" wrapText="1"/>
      <protection/>
    </xf>
    <xf numFmtId="166" fontId="18" fillId="0" borderId="0" xfId="0" applyNumberFormat="1" applyFont="1" applyBorder="1" applyAlignment="1" applyProtection="1">
      <alignment horizontal="center" vertical="center" wrapText="1"/>
      <protection/>
    </xf>
    <xf numFmtId="164" fontId="34" fillId="0" borderId="1" xfId="0" applyFont="1" applyBorder="1" applyAlignment="1" applyProtection="1">
      <alignment vertical="top" wrapText="1"/>
      <protection locked="0"/>
    </xf>
    <xf numFmtId="164" fontId="31" fillId="0" borderId="0" xfId="0" applyFont="1" applyAlignment="1">
      <alignment/>
    </xf>
    <xf numFmtId="164" fontId="30" fillId="0" borderId="1" xfId="0" applyFont="1" applyBorder="1" applyAlignment="1" applyProtection="1">
      <alignment horizontal="center" wrapText="1"/>
      <protection locked="0"/>
    </xf>
    <xf numFmtId="164" fontId="32" fillId="0" borderId="0" xfId="0" applyFont="1" applyAlignment="1">
      <alignment wrapText="1"/>
    </xf>
    <xf numFmtId="164" fontId="32" fillId="0" borderId="0" xfId="0" applyFont="1" applyAlignment="1">
      <alignment vertical="center"/>
    </xf>
    <xf numFmtId="166" fontId="30" fillId="0" borderId="0" xfId="0" applyNumberFormat="1" applyFont="1" applyBorder="1" applyAlignment="1" applyProtection="1">
      <alignment horizontal="center" vertical="center" wrapText="1"/>
      <protection/>
    </xf>
    <xf numFmtId="164" fontId="30" fillId="0" borderId="0" xfId="0" applyFont="1" applyAlignment="1">
      <alignment/>
    </xf>
    <xf numFmtId="164" fontId="30" fillId="0" borderId="0" xfId="0" applyFont="1" applyAlignment="1">
      <alignment vertical="center"/>
    </xf>
    <xf numFmtId="166" fontId="31" fillId="0" borderId="1" xfId="0" applyNumberFormat="1" applyFont="1" applyBorder="1" applyAlignment="1">
      <alignment horizontal="center" wrapText="1"/>
    </xf>
    <xf numFmtId="164" fontId="27" fillId="0" borderId="1" xfId="0" applyFont="1" applyBorder="1" applyAlignment="1">
      <alignment horizontal="center" vertical="top" wrapText="1"/>
    </xf>
    <xf numFmtId="164" fontId="27" fillId="0" borderId="1" xfId="0" applyFont="1" applyBorder="1" applyAlignment="1">
      <alignment vertical="top" wrapText="1"/>
    </xf>
    <xf numFmtId="164" fontId="27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 applyProtection="1">
      <alignment horizontal="center" vertical="center" wrapText="1"/>
      <protection/>
    </xf>
    <xf numFmtId="164" fontId="32" fillId="0" borderId="0" xfId="0" applyFont="1" applyAlignment="1">
      <alignment/>
    </xf>
    <xf numFmtId="164" fontId="18" fillId="0" borderId="1" xfId="0" applyFont="1" applyBorder="1" applyAlignment="1">
      <alignment horizontal="center" vertical="top" wrapText="1"/>
    </xf>
    <xf numFmtId="164" fontId="18" fillId="0" borderId="1" xfId="0" applyFont="1" applyBorder="1" applyAlignment="1" applyProtection="1">
      <alignment vertical="top" wrapText="1"/>
      <protection locked="0"/>
    </xf>
    <xf numFmtId="164" fontId="18" fillId="0" borderId="1" xfId="0" applyFont="1" applyBorder="1" applyAlignment="1" applyProtection="1">
      <alignment horizontal="center" vertical="center" wrapText="1"/>
      <protection locked="0"/>
    </xf>
    <xf numFmtId="166" fontId="1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gnoza i kredyty-tabele 20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view="pageBreakPreview" zoomScale="67" zoomScaleSheetLayoutView="67" workbookViewId="0" topLeftCell="A1">
      <pane ySplit="5" topLeftCell="A16" activePane="bottomLeft" state="frozen"/>
      <selection pane="topLeft" activeCell="A1" sqref="A1"/>
      <selection pane="bottomLeft" activeCell="I50" sqref="G50:I50"/>
    </sheetView>
  </sheetViews>
  <sheetFormatPr defaultColWidth="12" defaultRowHeight="21.75" customHeight="1"/>
  <cols>
    <col min="1" max="1" width="6.69921875" style="1" customWidth="1"/>
    <col min="2" max="2" width="51.8984375" style="2" customWidth="1"/>
    <col min="3" max="4" width="13.8984375" style="1" customWidth="1"/>
    <col min="5" max="5" width="16.3984375" style="1" customWidth="1"/>
    <col min="6" max="6" width="14.296875" style="1" customWidth="1"/>
    <col min="7" max="7" width="14.8984375" style="1" customWidth="1"/>
    <col min="8" max="9" width="14.19921875" style="1" customWidth="1"/>
    <col min="10" max="10" width="13.09765625" style="1" customWidth="1"/>
    <col min="11" max="11" width="14.296875" style="2" customWidth="1"/>
    <col min="12" max="12" width="13.59765625" style="2" customWidth="1"/>
    <col min="13" max="13" width="12.8984375" style="2" customWidth="1"/>
    <col min="14" max="14" width="12.296875" style="2" customWidth="1"/>
    <col min="15" max="16" width="13.09765625" style="2" customWidth="1"/>
    <col min="17" max="17" width="13.59765625" style="2" customWidth="1"/>
    <col min="18" max="18" width="13.8984375" style="2" customWidth="1"/>
    <col min="19" max="255" width="12.296875" style="2" customWidth="1"/>
    <col min="256" max="16384" width="12.296875" style="0" customWidth="1"/>
  </cols>
  <sheetData>
    <row r="1" spans="1:18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18" s="1" customFormat="1" ht="24.75" customHeight="1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1" customFormat="1" ht="47.25" customHeight="1">
      <c r="A4" s="6"/>
      <c r="B4" s="6"/>
      <c r="C4" s="8" t="s">
        <v>8</v>
      </c>
      <c r="D4" s="6" t="s">
        <v>9</v>
      </c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</row>
    <row r="5" spans="1:18" s="1" customFormat="1" ht="1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</row>
    <row r="6" spans="1:18" s="12" customFormat="1" ht="17.25" customHeight="1">
      <c r="A6" s="9" t="s">
        <v>22</v>
      </c>
      <c r="B6" s="10" t="s">
        <v>23</v>
      </c>
      <c r="C6" s="11">
        <f>C7+C8</f>
        <v>40781807</v>
      </c>
      <c r="D6" s="11">
        <f>D7+D8</f>
        <v>41646128.88</v>
      </c>
      <c r="E6" s="11">
        <f>E7+E8</f>
        <v>47457716</v>
      </c>
      <c r="F6" s="11">
        <f>F7+F8</f>
        <v>47163387</v>
      </c>
      <c r="G6" s="11">
        <f>G7+G8</f>
        <v>50575817</v>
      </c>
      <c r="H6" s="11">
        <f>H7+H8</f>
        <v>50240470.595</v>
      </c>
      <c r="I6" s="11">
        <f>I7+I8</f>
        <v>49468130.786189996</v>
      </c>
      <c r="J6" s="11">
        <f>J7+J8</f>
        <v>49680993.435482845</v>
      </c>
      <c r="K6" s="11">
        <f>K7+K8</f>
        <v>49577362.361390084</v>
      </c>
      <c r="L6" s="11">
        <f>L7+L8</f>
        <v>50021022.79681093</v>
      </c>
      <c r="M6" s="11">
        <f>M7+M8</f>
        <v>49171338.1387631</v>
      </c>
      <c r="N6" s="11">
        <f>N7+N8</f>
        <v>49942852.60459454</v>
      </c>
      <c r="O6" s="11">
        <f>O7+O8</f>
        <v>49491995.39366346</v>
      </c>
      <c r="P6" s="11">
        <f>P7+P8</f>
        <v>50234375.32456841</v>
      </c>
      <c r="Q6" s="11">
        <f>Q7+Q8</f>
        <v>50987890.95443694</v>
      </c>
      <c r="R6" s="11">
        <f>R7+R8</f>
        <v>51752709.318753496</v>
      </c>
    </row>
    <row r="7" spans="1:18" s="16" customFormat="1" ht="17.25" customHeight="1">
      <c r="A7" s="7" t="s">
        <v>24</v>
      </c>
      <c r="B7" s="13" t="s">
        <v>25</v>
      </c>
      <c r="C7" s="14">
        <f>35488119+3020981+266707</f>
        <v>38775807</v>
      </c>
      <c r="D7" s="14">
        <f>41646128.88-D8</f>
        <v>40438982.88</v>
      </c>
      <c r="E7" s="14">
        <f>47800416-E8-342700</f>
        <v>43364619</v>
      </c>
      <c r="F7" s="15">
        <v>42205774</v>
      </c>
      <c r="G7" s="14">
        <v>45300817</v>
      </c>
      <c r="H7" s="14">
        <f>G7*0.035+G7</f>
        <v>46886345.595</v>
      </c>
      <c r="I7" s="14">
        <f>H7*0.002+H7+1200000</f>
        <v>48180118.286189996</v>
      </c>
      <c r="J7" s="14">
        <f>I7*0.015+I7-600000</f>
        <v>48302820.060482845</v>
      </c>
      <c r="K7" s="14">
        <f>J7*0.015+J7</f>
        <v>49027362.361390084</v>
      </c>
      <c r="L7" s="14">
        <f>K7*0.015+K7</f>
        <v>49762772.79681093</v>
      </c>
      <c r="M7" s="14">
        <f>L7*0.015+L7-1600000</f>
        <v>48909214.3887631</v>
      </c>
      <c r="N7" s="14">
        <f>M7*0.015+M7</f>
        <v>49642852.60459454</v>
      </c>
      <c r="O7" s="14">
        <f>N7*0.015+N7-1200000</f>
        <v>49187495.39366346</v>
      </c>
      <c r="P7" s="14">
        <f>O7*0.015+O7</f>
        <v>49925307.82456841</v>
      </c>
      <c r="Q7" s="14">
        <f>P7*0.015+P7</f>
        <v>50674187.44193694</v>
      </c>
      <c r="R7" s="14">
        <f>Q7*0.015+Q7</f>
        <v>51434300.253566</v>
      </c>
    </row>
    <row r="8" spans="1:18" s="16" customFormat="1" ht="15.75" customHeight="1">
      <c r="A8" s="7" t="s">
        <v>26</v>
      </c>
      <c r="B8" s="13" t="s">
        <v>27</v>
      </c>
      <c r="C8" s="14">
        <f>356000+50000+1600000</f>
        <v>2006000</v>
      </c>
      <c r="D8" s="14">
        <f>674000+D9</f>
        <v>1207146</v>
      </c>
      <c r="E8" s="14">
        <f>5572512-1257300-17065-125050-80000</f>
        <v>4093097</v>
      </c>
      <c r="F8" s="15">
        <v>4957613</v>
      </c>
      <c r="G8" s="14">
        <f>4150000+G9</f>
        <v>5275000</v>
      </c>
      <c r="H8" s="17">
        <f>G8*0.015+G8-2000000</f>
        <v>3354125</v>
      </c>
      <c r="I8" s="17">
        <f>I9</f>
        <v>1288012.5</v>
      </c>
      <c r="J8" s="17">
        <f>J9</f>
        <v>1378173.375</v>
      </c>
      <c r="K8" s="17">
        <f>K9</f>
        <v>550000</v>
      </c>
      <c r="L8" s="17">
        <f>L9</f>
        <v>258250</v>
      </c>
      <c r="M8" s="17">
        <f>M9</f>
        <v>262123.75</v>
      </c>
      <c r="N8" s="17">
        <f>N9</f>
        <v>300000</v>
      </c>
      <c r="O8" s="17">
        <f>O9</f>
        <v>304500</v>
      </c>
      <c r="P8" s="17">
        <f>P9</f>
        <v>309067.5</v>
      </c>
      <c r="Q8" s="17">
        <f>Q9</f>
        <v>313703.5125</v>
      </c>
      <c r="R8" s="17">
        <f>R9</f>
        <v>318409.06518750003</v>
      </c>
    </row>
    <row r="9" spans="1:18" ht="21.75" customHeight="1">
      <c r="A9" s="7" t="s">
        <v>28</v>
      </c>
      <c r="B9" s="13" t="s">
        <v>29</v>
      </c>
      <c r="C9" s="14">
        <f>1739103+50447</f>
        <v>1789550</v>
      </c>
      <c r="D9" s="14">
        <v>533146</v>
      </c>
      <c r="E9" s="14">
        <f>1740500+50000</f>
        <v>1790500</v>
      </c>
      <c r="F9" s="15">
        <v>1273000</v>
      </c>
      <c r="G9" s="14">
        <v>1125000</v>
      </c>
      <c r="H9" s="14">
        <f>G9*0.07+G9</f>
        <v>1203750</v>
      </c>
      <c r="I9" s="14">
        <f>H9*0.07+H9</f>
        <v>1288012.5</v>
      </c>
      <c r="J9" s="17">
        <f>I9*0.07+I9</f>
        <v>1378173.375</v>
      </c>
      <c r="K9" s="17">
        <v>550000</v>
      </c>
      <c r="L9" s="17">
        <f>K9*0.015+K9-300000</f>
        <v>258250</v>
      </c>
      <c r="M9" s="17">
        <f>L9*0.015+L9</f>
        <v>262123.75</v>
      </c>
      <c r="N9" s="17">
        <v>300000</v>
      </c>
      <c r="O9" s="17">
        <f>N9*0.015+N9</f>
        <v>304500</v>
      </c>
      <c r="P9" s="17">
        <f>O9*0.015+O9</f>
        <v>309067.5</v>
      </c>
      <c r="Q9" s="17">
        <f>P9*0.015+P9</f>
        <v>313703.5125</v>
      </c>
      <c r="R9" s="17">
        <f>Q9*0.015+Q9</f>
        <v>318409.06518750003</v>
      </c>
    </row>
    <row r="10" spans="1:18" s="12" customFormat="1" ht="34.5" customHeight="1">
      <c r="A10" s="9" t="s">
        <v>30</v>
      </c>
      <c r="B10" s="10" t="s">
        <v>31</v>
      </c>
      <c r="C10" s="11">
        <f>C11+C12+C13+C17</f>
        <v>35377906</v>
      </c>
      <c r="D10" s="11">
        <f>D11+D12+D13+D17</f>
        <v>37534639</v>
      </c>
      <c r="E10" s="11">
        <f>E11+E12+E13+E17</f>
        <v>42789206</v>
      </c>
      <c r="F10" s="11">
        <f>F11+F12+F13+F17</f>
        <v>40068426</v>
      </c>
      <c r="G10" s="11">
        <f>G11+G12+G13+G17</f>
        <v>40028079</v>
      </c>
      <c r="H10" s="11">
        <f>H11+H12+H13+H17</f>
        <v>41303206</v>
      </c>
      <c r="I10" s="11">
        <f>I11+I12+I13+I17</f>
        <v>40087853</v>
      </c>
      <c r="J10" s="11">
        <f>J11+J12+J13+J17</f>
        <v>40351846</v>
      </c>
      <c r="K10" s="11">
        <f>K11+K12+K13+K17</f>
        <v>40564042</v>
      </c>
      <c r="L10" s="11">
        <f>L11+L12+L13+L17</f>
        <v>42269643</v>
      </c>
      <c r="M10" s="11">
        <f>M11+M12+M13+M17</f>
        <v>41007036</v>
      </c>
      <c r="N10" s="11">
        <f>N11+N12+N13+N17</f>
        <v>41202284</v>
      </c>
      <c r="O10" s="11">
        <f>O11+O12+O13+O17</f>
        <v>41397056</v>
      </c>
      <c r="P10" s="11">
        <f>P11+P12+P13+P17</f>
        <v>41489423</v>
      </c>
      <c r="Q10" s="11">
        <f>Q11+Q12+Q13+Q17</f>
        <v>41591248</v>
      </c>
      <c r="R10" s="11">
        <f>R11+R12+R13+R17</f>
        <v>41576535</v>
      </c>
    </row>
    <row r="11" spans="1:18" s="16" customFormat="1" ht="23.25" customHeight="1">
      <c r="A11" s="7" t="s">
        <v>32</v>
      </c>
      <c r="B11" s="13" t="s">
        <v>33</v>
      </c>
      <c r="C11" s="15">
        <f>14308428-135900</f>
        <v>14172528</v>
      </c>
      <c r="D11" s="15">
        <f>16043395-147200</f>
        <v>15896195</v>
      </c>
      <c r="E11" s="15">
        <f>19642078</f>
        <v>19642078</v>
      </c>
      <c r="F11" s="15">
        <v>18648960</v>
      </c>
      <c r="G11" s="15">
        <f>F11*0.01+F11</f>
        <v>18835449.6</v>
      </c>
      <c r="H11" s="15">
        <f>G11*0.02+G11</f>
        <v>19212158.592</v>
      </c>
      <c r="I11" s="15">
        <f>H11*0.01+H11</f>
        <v>19404280.17792</v>
      </c>
      <c r="J11" s="15">
        <f>I11*0.01+I11</f>
        <v>19598322.9796992</v>
      </c>
      <c r="K11" s="15">
        <f>J11*0.01+J11</f>
        <v>19794306.20949619</v>
      </c>
      <c r="L11" s="15">
        <f>K11*0.01+K11</f>
        <v>19992249.27159115</v>
      </c>
      <c r="M11" s="15">
        <f>L11*0.01+L11</f>
        <v>20192171.76430706</v>
      </c>
      <c r="N11" s="15">
        <f>M11*0.01+M11</f>
        <v>20394093.48195013</v>
      </c>
      <c r="O11" s="15">
        <f>N11*0.01+N11</f>
        <v>20598034.41676963</v>
      </c>
      <c r="P11" s="15">
        <f>O11*0.01+O11</f>
        <v>20804014.760937326</v>
      </c>
      <c r="Q11" s="15">
        <f>P11*0.01+P11</f>
        <v>21012054.908546697</v>
      </c>
      <c r="R11" s="15">
        <f>Q11*0.01+Q11</f>
        <v>21222175.457632165</v>
      </c>
    </row>
    <row r="12" spans="1:18" s="16" customFormat="1" ht="23.25" customHeight="1">
      <c r="A12" s="7" t="s">
        <v>34</v>
      </c>
      <c r="B12" s="13" t="s">
        <v>35</v>
      </c>
      <c r="C12" s="15">
        <f>214650+3688830</f>
        <v>3903480</v>
      </c>
      <c r="D12" s="15">
        <f>251667+3897967</f>
        <v>4149634</v>
      </c>
      <c r="E12" s="15">
        <f>271400+4143066</f>
        <v>4414466</v>
      </c>
      <c r="F12" s="15">
        <f>273200+3704390</f>
        <v>3977590</v>
      </c>
      <c r="G12" s="15">
        <f>F12*0.005+F12-100000</f>
        <v>3897477.95</v>
      </c>
      <c r="H12" s="15">
        <f>G12*0.005+G12</f>
        <v>3916965.3397500003</v>
      </c>
      <c r="I12" s="15">
        <f>H12*0.005+H12</f>
        <v>3936550.16644875</v>
      </c>
      <c r="J12" s="15">
        <f>I12*0.005+I12</f>
        <v>3956232.917280994</v>
      </c>
      <c r="K12" s="15">
        <f>J12*0.005+J12</f>
        <v>3976014.0818673987</v>
      </c>
      <c r="L12" s="15">
        <f>K12*0.005+K12</f>
        <v>3995894.1522767358</v>
      </c>
      <c r="M12" s="15">
        <f>L12*0.005+L12</f>
        <v>4015873.6230381196</v>
      </c>
      <c r="N12" s="15">
        <f>M12*0.005+M12</f>
        <v>4035952.99115331</v>
      </c>
      <c r="O12" s="15">
        <f>N12*0.005+N12</f>
        <v>4056132.7561090766</v>
      </c>
      <c r="P12" s="15">
        <f>O12*0.005+O12</f>
        <v>4076413.419889622</v>
      </c>
      <c r="Q12" s="15">
        <f>P12*0.005+P12</f>
        <v>4096795.48698907</v>
      </c>
      <c r="R12" s="15">
        <f>Q12*0.005+Q12</f>
        <v>4117279.4644240155</v>
      </c>
    </row>
    <row r="13" spans="1:18" s="16" customFormat="1" ht="49.5" customHeight="1">
      <c r="A13" s="7" t="s">
        <v>36</v>
      </c>
      <c r="B13" s="13" t="s">
        <v>37</v>
      </c>
      <c r="C13" s="18">
        <f>C14+C15+C16</f>
        <v>0</v>
      </c>
      <c r="D13" s="18">
        <f>D14+D15+D16</f>
        <v>0</v>
      </c>
      <c r="E13" s="18">
        <f>E14+E15+E16</f>
        <v>264812</v>
      </c>
      <c r="F13" s="18">
        <f>F14+F15+F16</f>
        <v>1807000</v>
      </c>
      <c r="G13" s="18">
        <f>G14+G15+G16</f>
        <v>1931800</v>
      </c>
      <c r="H13" s="18">
        <f>H14+H15+H16</f>
        <v>2072595</v>
      </c>
      <c r="I13" s="18">
        <f>I14+I15+I16</f>
        <v>1478570.828125</v>
      </c>
      <c r="J13" s="18">
        <f>J14+J15+J16</f>
        <v>1515535.098828125</v>
      </c>
      <c r="K13" s="18">
        <f>K14+K15+K16</f>
        <v>1553423.4762988281</v>
      </c>
      <c r="L13" s="18">
        <f>L14+L15+L16</f>
        <v>1592259.0632062987</v>
      </c>
      <c r="M13" s="18">
        <f>M14+M15+M16</f>
        <v>1632065.5397864562</v>
      </c>
      <c r="N13" s="18">
        <f>N14+N15+N16</f>
        <v>1672867.1782811177</v>
      </c>
      <c r="O13" s="18">
        <f>O14+O15+O16</f>
        <v>1714688.8577381459</v>
      </c>
      <c r="P13" s="18">
        <f>P14+P15+P16</f>
        <v>1757556.0791815994</v>
      </c>
      <c r="Q13" s="18">
        <f>Q14+Q15+Q16</f>
        <v>1801494.9811611394</v>
      </c>
      <c r="R13" s="18">
        <f>R14+R15+R16</f>
        <v>1846532.3556901678</v>
      </c>
    </row>
    <row r="14" spans="1:18" s="21" customFormat="1" ht="30.75" customHeight="1">
      <c r="A14" s="19"/>
      <c r="B14" s="20" t="s">
        <v>38</v>
      </c>
      <c r="C14" s="15"/>
      <c r="D14" s="15"/>
      <c r="E14" s="15">
        <f>26598+238214</f>
        <v>264812</v>
      </c>
      <c r="F14" s="15">
        <f>'załacznik 2'!I10</f>
        <v>434000</v>
      </c>
      <c r="G14" s="15">
        <f>'załacznik 2'!J10</f>
        <v>524475</v>
      </c>
      <c r="H14" s="15">
        <f>'załacznik 2'!K10</f>
        <v>630086.875</v>
      </c>
      <c r="I14" s="15">
        <f>'załacznik 2'!L10</f>
        <v>0</v>
      </c>
      <c r="J14" s="15">
        <f>'załacznik 2'!M10</f>
        <v>0</v>
      </c>
      <c r="K14" s="15">
        <f>'załacznik 2'!N10</f>
        <v>0</v>
      </c>
      <c r="L14" s="15">
        <f>'załacznik 2'!O10</f>
        <v>0</v>
      </c>
      <c r="M14" s="15">
        <f>'załacznik 2'!P10</f>
        <v>0</v>
      </c>
      <c r="N14" s="15">
        <f>'załacznik 2'!Q10</f>
        <v>0</v>
      </c>
      <c r="O14" s="15">
        <f>'załacznik 2'!R10</f>
        <v>0</v>
      </c>
      <c r="P14" s="15">
        <f>'załacznik 2'!S10</f>
        <v>0</v>
      </c>
      <c r="Q14" s="15">
        <f>'załacznik 2'!T10</f>
        <v>0</v>
      </c>
      <c r="R14" s="15">
        <f>'załacznik 2'!U10</f>
        <v>0</v>
      </c>
    </row>
    <row r="15" spans="1:18" s="21" customFormat="1" ht="24.75" customHeight="1">
      <c r="A15" s="19"/>
      <c r="B15" s="20" t="s">
        <v>39</v>
      </c>
      <c r="C15" s="15">
        <v>0</v>
      </c>
      <c r="D15" s="15">
        <v>0</v>
      </c>
      <c r="E15" s="15">
        <v>0</v>
      </c>
      <c r="F15" s="15">
        <f>'załacznik 2'!I29</f>
        <v>0</v>
      </c>
      <c r="G15" s="15">
        <f>'załacznik 2'!J29</f>
        <v>0</v>
      </c>
      <c r="H15" s="15">
        <f>'załacznik 2'!K29</f>
        <v>0</v>
      </c>
      <c r="I15" s="15">
        <f>'załacznik 2'!L29</f>
        <v>0</v>
      </c>
      <c r="J15" s="15">
        <f>'załacznik 2'!M29</f>
        <v>0</v>
      </c>
      <c r="K15" s="15">
        <f>'załacznik 2'!N29</f>
        <v>0</v>
      </c>
      <c r="L15" s="15">
        <f>'załacznik 2'!O29</f>
        <v>0</v>
      </c>
      <c r="M15" s="15">
        <f>'załacznik 2'!P29</f>
        <v>0</v>
      </c>
      <c r="N15" s="15">
        <f>'załacznik 2'!Q29</f>
        <v>0</v>
      </c>
      <c r="O15" s="15">
        <f>'załacznik 2'!R29</f>
        <v>0</v>
      </c>
      <c r="P15" s="15">
        <f>'załacznik 2'!S29</f>
        <v>0</v>
      </c>
      <c r="Q15" s="15">
        <f>'załacznik 2'!T29</f>
        <v>0</v>
      </c>
      <c r="R15" s="15">
        <f>'załacznik 2'!U29</f>
        <v>0</v>
      </c>
    </row>
    <row r="16" spans="1:18" s="21" customFormat="1" ht="38.25" customHeight="1">
      <c r="A16" s="19"/>
      <c r="B16" s="20" t="s">
        <v>40</v>
      </c>
      <c r="C16" s="15"/>
      <c r="D16" s="15"/>
      <c r="E16" s="15">
        <v>0</v>
      </c>
      <c r="F16" s="15">
        <f>'załacznik 2'!I43</f>
        <v>1373000</v>
      </c>
      <c r="G16" s="15">
        <f>'załacznik 2'!J43</f>
        <v>1407325</v>
      </c>
      <c r="H16" s="15">
        <f>'załacznik 2'!K43</f>
        <v>1442508.125</v>
      </c>
      <c r="I16" s="15">
        <f>'załacznik 2'!L43</f>
        <v>1478570.828125</v>
      </c>
      <c r="J16" s="15">
        <f>'załacznik 2'!M43</f>
        <v>1515535.098828125</v>
      </c>
      <c r="K16" s="15">
        <f>'załacznik 2'!N43</f>
        <v>1553423.4762988281</v>
      </c>
      <c r="L16" s="15">
        <f>'załacznik 2'!O43</f>
        <v>1592259.0632062987</v>
      </c>
      <c r="M16" s="15">
        <f>'załacznik 2'!P43</f>
        <v>1632065.5397864562</v>
      </c>
      <c r="N16" s="15">
        <f>'załacznik 2'!Q43</f>
        <v>1672867.1782811177</v>
      </c>
      <c r="O16" s="15">
        <f>'załacznik 2'!R43</f>
        <v>1714688.8577381459</v>
      </c>
      <c r="P16" s="15">
        <f>'załacznik 2'!S43</f>
        <v>1757556.0791815994</v>
      </c>
      <c r="Q16" s="15">
        <f>'załacznik 2'!T43</f>
        <v>1801494.9811611394</v>
      </c>
      <c r="R16" s="15">
        <f>'załacznik 2'!U43</f>
        <v>1846532.3556901678</v>
      </c>
    </row>
    <row r="17" spans="1:18" ht="21.75" customHeight="1">
      <c r="A17" s="7" t="s">
        <v>41</v>
      </c>
      <c r="B17" s="13" t="s">
        <v>42</v>
      </c>
      <c r="C17" s="22">
        <f>35629627-C11-C12-C13-251721</f>
        <v>17301898</v>
      </c>
      <c r="D17" s="22">
        <f>37955636-D11-D12-D13-420997</f>
        <v>17488810</v>
      </c>
      <c r="E17" s="22">
        <f>43989727-E11-E12-E13-E27-115000-70000-145000</f>
        <v>18467850</v>
      </c>
      <c r="F17" s="22">
        <f>41993855-F27-F11-F12-F13</f>
        <v>15634876</v>
      </c>
      <c r="G17" s="22">
        <f>41993855-G27-G11-G12-G13+44409</f>
        <v>15363351.45</v>
      </c>
      <c r="H17" s="22">
        <f>41993855-H27-H11-H12-H13+1129436</f>
        <v>16101487.06825</v>
      </c>
      <c r="I17" s="22">
        <f>41993855-I27-I11-I12-I13</f>
        <v>15268451.827506252</v>
      </c>
      <c r="J17" s="22">
        <f>41993855-J27-J11-J12-J13</f>
        <v>15281755.004191682</v>
      </c>
      <c r="K17" s="22">
        <f>41993855-K27-K11-K12-K13</f>
        <v>15240298.232337583</v>
      </c>
      <c r="L17" s="22">
        <f>41993855-L27-L11-L12-L13+1500000</f>
        <v>16689240.512925817</v>
      </c>
      <c r="M17" s="22">
        <f>41993855-M27-M11-M12-M13</f>
        <v>15166925.072868364</v>
      </c>
      <c r="N17" s="22">
        <f>41993855-N27-N11-N12-N13</f>
        <v>15099370.348615441</v>
      </c>
      <c r="O17" s="22">
        <f>41993855-O27-O11-O12-O13</f>
        <v>15028199.969383145</v>
      </c>
      <c r="P17" s="22">
        <f>41993855-P27-P11-P12-P13</f>
        <v>14851438.739991453</v>
      </c>
      <c r="Q17" s="22">
        <f>41993855-Q27-Q11-Q12-Q13</f>
        <v>14680902.623303093</v>
      </c>
      <c r="R17" s="22">
        <f>41993855-R27-R11-R12-R13</f>
        <v>14390547.72225365</v>
      </c>
    </row>
    <row r="18" spans="1:18" s="12" customFormat="1" ht="34.5" customHeight="1">
      <c r="A18" s="9" t="s">
        <v>43</v>
      </c>
      <c r="B18" s="10" t="s">
        <v>44</v>
      </c>
      <c r="C18" s="11">
        <f>C6-C10</f>
        <v>5403901</v>
      </c>
      <c r="D18" s="11">
        <f>D6-D10</f>
        <v>4111489.8800000027</v>
      </c>
      <c r="E18" s="11">
        <f>E6-E10</f>
        <v>4668510</v>
      </c>
      <c r="F18" s="11">
        <f>F6-F10</f>
        <v>7094961</v>
      </c>
      <c r="G18" s="11">
        <f>G6-G10</f>
        <v>10547738</v>
      </c>
      <c r="H18" s="11">
        <f>H6-H10</f>
        <v>8937264.594999999</v>
      </c>
      <c r="I18" s="11">
        <f>I6-I10</f>
        <v>9380277.786189996</v>
      </c>
      <c r="J18" s="11">
        <f>J6-J10</f>
        <v>9329147.435482845</v>
      </c>
      <c r="K18" s="11">
        <f>K6-K10</f>
        <v>9013320.361390084</v>
      </c>
      <c r="L18" s="11">
        <f>L6-L10</f>
        <v>7751379.796810932</v>
      </c>
      <c r="M18" s="11">
        <f>M6-M10</f>
        <v>8164302.1387631</v>
      </c>
      <c r="N18" s="11">
        <f>N6-N10</f>
        <v>8740568.604594544</v>
      </c>
      <c r="O18" s="11">
        <f>O6-O10</f>
        <v>8094939.3936634585</v>
      </c>
      <c r="P18" s="11">
        <f>P6-P10</f>
        <v>8744952.324568413</v>
      </c>
      <c r="Q18" s="11">
        <f>Q6-Q10</f>
        <v>9396642.954436943</v>
      </c>
      <c r="R18" s="11">
        <f>R6-R10</f>
        <v>10176174.318753496</v>
      </c>
    </row>
    <row r="19" spans="1:18" s="26" customFormat="1" ht="54" customHeight="1">
      <c r="A19" s="23" t="s">
        <v>45</v>
      </c>
      <c r="B19" s="24" t="s">
        <v>46</v>
      </c>
      <c r="C19" s="25">
        <f>C7-C10</f>
        <v>3397901</v>
      </c>
      <c r="D19" s="25">
        <f>D7-D10</f>
        <v>2904343.8800000027</v>
      </c>
      <c r="E19" s="25">
        <f>E7-E10</f>
        <v>575413</v>
      </c>
      <c r="F19" s="25">
        <f>F7-F10</f>
        <v>2137348</v>
      </c>
      <c r="G19" s="25">
        <f>G7-G10</f>
        <v>5272738</v>
      </c>
      <c r="H19" s="25">
        <f>H7-H10</f>
        <v>5583139.594999999</v>
      </c>
      <c r="I19" s="25">
        <f>I7-I10</f>
        <v>8092265.286189996</v>
      </c>
      <c r="J19" s="25">
        <f>J7-J10</f>
        <v>7950974.060482845</v>
      </c>
      <c r="K19" s="25">
        <f>K7-K10</f>
        <v>8463320.361390084</v>
      </c>
      <c r="L19" s="25">
        <f>L7-L10</f>
        <v>7493129.796810932</v>
      </c>
      <c r="M19" s="25">
        <f>M7-M10</f>
        <v>7902178.3887631</v>
      </c>
      <c r="N19" s="25">
        <f>N7-N10</f>
        <v>8440568.604594544</v>
      </c>
      <c r="O19" s="25">
        <f>O7-O10</f>
        <v>7790439.3936634585</v>
      </c>
      <c r="P19" s="25">
        <f>P7-P10</f>
        <v>8435884.824568413</v>
      </c>
      <c r="Q19" s="25">
        <f>Q7-Q10</f>
        <v>9082939.44193694</v>
      </c>
      <c r="R19" s="25">
        <f>R7-R10</f>
        <v>9857765.253565997</v>
      </c>
    </row>
    <row r="20" spans="1:18" s="12" customFormat="1" ht="34.5" customHeight="1">
      <c r="A20" s="9" t="s">
        <v>47</v>
      </c>
      <c r="B20" s="10" t="s">
        <v>48</v>
      </c>
      <c r="C20" s="11">
        <f>C21+C23+C22</f>
        <v>545789</v>
      </c>
      <c r="D20" s="11">
        <f>D21+D23+D22</f>
        <v>-168816</v>
      </c>
      <c r="E20" s="11">
        <f>E21+E23+E22</f>
        <v>885732.8800000027</v>
      </c>
      <c r="F20" s="11">
        <f>F21+F23+F22</f>
        <v>197770.88000000268</v>
      </c>
      <c r="G20" s="11">
        <f>G21+G23+G22</f>
        <v>0</v>
      </c>
      <c r="H20" s="11">
        <f>H21+H23+H22</f>
        <v>6678</v>
      </c>
      <c r="I20" s="11">
        <f>I21+I23+I22</f>
        <v>0</v>
      </c>
      <c r="J20" s="11">
        <f>J21+J23+J22</f>
        <v>0</v>
      </c>
      <c r="K20" s="11">
        <f>K21+K23+K22</f>
        <v>180755.4354828447</v>
      </c>
      <c r="L20" s="11">
        <f>L21+L23+L22</f>
        <v>1219519.7968729287</v>
      </c>
      <c r="M20" s="11">
        <f>M21+M23+M22</f>
        <v>41944.593683861196</v>
      </c>
      <c r="N20" s="11">
        <f>N21+N23+N22</f>
        <v>14684.732446961105</v>
      </c>
      <c r="O20" s="11">
        <f>O21+O23+O22</f>
        <v>898939.3370415047</v>
      </c>
      <c r="P20" s="11">
        <f>P21+P23+P22</f>
        <v>92336.7307049632</v>
      </c>
      <c r="Q20" s="11">
        <f>Q21+Q23+Q22</f>
        <v>39224.055273376405</v>
      </c>
      <c r="R20" s="11">
        <f>R21+R23+R22</f>
        <v>2213260.0097103184</v>
      </c>
    </row>
    <row r="21" spans="1:256" ht="21.75" customHeight="1">
      <c r="A21" s="7" t="s">
        <v>49</v>
      </c>
      <c r="B21" s="13" t="s">
        <v>50</v>
      </c>
      <c r="C21" s="15">
        <v>531253</v>
      </c>
      <c r="D21" s="15">
        <f>C47</f>
        <v>-172584</v>
      </c>
      <c r="E21" s="15">
        <f>D47</f>
        <v>881964.8800000027</v>
      </c>
      <c r="F21" s="27"/>
      <c r="G21" s="15">
        <f>F47</f>
        <v>0</v>
      </c>
      <c r="H21" s="27"/>
      <c r="I21" s="15">
        <f>H47</f>
        <v>0</v>
      </c>
      <c r="J21" s="15">
        <f>I47</f>
        <v>0</v>
      </c>
      <c r="K21" s="15">
        <f>J47</f>
        <v>180755.4354828447</v>
      </c>
      <c r="L21" s="15">
        <f>K47</f>
        <v>1219519.7968729287</v>
      </c>
      <c r="M21" s="15">
        <f>L47</f>
        <v>41944.593683861196</v>
      </c>
      <c r="N21" s="15">
        <f>M47</f>
        <v>14684.732446961105</v>
      </c>
      <c r="O21" s="15">
        <f>N47</f>
        <v>898939.3370415047</v>
      </c>
      <c r="P21" s="15">
        <f>O47</f>
        <v>92336.7307049632</v>
      </c>
      <c r="Q21" s="15">
        <f>P47</f>
        <v>39224.055273376405</v>
      </c>
      <c r="R21" s="15">
        <f>Q47</f>
        <v>2213260.0097103184</v>
      </c>
      <c r="IV21" s="27"/>
    </row>
    <row r="22" spans="1:256" ht="21.75" customHeight="1">
      <c r="A22" s="7" t="s">
        <v>51</v>
      </c>
      <c r="B22" s="13" t="s">
        <v>52</v>
      </c>
      <c r="C22" s="19"/>
      <c r="D22" s="19"/>
      <c r="E22" s="19"/>
      <c r="F22" s="15">
        <f>E47</f>
        <v>194002.88000000268</v>
      </c>
      <c r="G22" s="15"/>
      <c r="H22" s="15">
        <f>G47</f>
        <v>6678</v>
      </c>
      <c r="I22" s="15"/>
      <c r="J22" s="15"/>
      <c r="K22" s="13"/>
      <c r="L22" s="13"/>
      <c r="M22" s="13"/>
      <c r="N22" s="13"/>
      <c r="O22" s="13"/>
      <c r="P22" s="13"/>
      <c r="Q22" s="13"/>
      <c r="R22" s="13"/>
      <c r="IV22" s="27"/>
    </row>
    <row r="23" spans="1:256" ht="21.75" customHeight="1">
      <c r="A23" s="7" t="s">
        <v>53</v>
      </c>
      <c r="B23" s="13" t="s">
        <v>54</v>
      </c>
      <c r="C23" s="17">
        <v>14536</v>
      </c>
      <c r="D23" s="17">
        <v>3768</v>
      </c>
      <c r="E23" s="17">
        <v>3768</v>
      </c>
      <c r="F23" s="17">
        <v>3768</v>
      </c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3"/>
      <c r="R23" s="13"/>
      <c r="IV23" s="27"/>
    </row>
    <row r="24" spans="1:18" s="12" customFormat="1" ht="47.25" customHeight="1">
      <c r="A24" s="9" t="s">
        <v>55</v>
      </c>
      <c r="B24" s="10" t="s">
        <v>56</v>
      </c>
      <c r="C24" s="11">
        <f>C18+C20</f>
        <v>5949690</v>
      </c>
      <c r="D24" s="11">
        <f>D18+D20</f>
        <v>3942673.8800000027</v>
      </c>
      <c r="E24" s="11">
        <f>E18+E20</f>
        <v>5554242.880000003</v>
      </c>
      <c r="F24" s="11">
        <f>F18+F20</f>
        <v>7292731.880000003</v>
      </c>
      <c r="G24" s="11">
        <f>G18+G20</f>
        <v>10547738</v>
      </c>
      <c r="H24" s="11">
        <f>H18+H20</f>
        <v>8943942.594999999</v>
      </c>
      <c r="I24" s="11">
        <f>I18+I20</f>
        <v>9380277.786189996</v>
      </c>
      <c r="J24" s="11">
        <f>J18+J20</f>
        <v>9329147.435482845</v>
      </c>
      <c r="K24" s="11">
        <f>K18+K20</f>
        <v>9194075.796872929</v>
      </c>
      <c r="L24" s="11">
        <f>L18+L20</f>
        <v>8970899.593683861</v>
      </c>
      <c r="M24" s="11">
        <f>M18+M20</f>
        <v>8206246.732446961</v>
      </c>
      <c r="N24" s="11">
        <f>N18+N20</f>
        <v>8755253.337041505</v>
      </c>
      <c r="O24" s="11">
        <f>O18+O20</f>
        <v>8993878.730704963</v>
      </c>
      <c r="P24" s="11">
        <f>P18+P20</f>
        <v>8837289.055273376</v>
      </c>
      <c r="Q24" s="11">
        <f>Q18+Q20</f>
        <v>9435867.00971032</v>
      </c>
      <c r="R24" s="11">
        <f>R18+R20</f>
        <v>12389434.328463815</v>
      </c>
    </row>
    <row r="25" spans="1:18" s="26" customFormat="1" ht="77.25" customHeight="1">
      <c r="A25" s="23" t="s">
        <v>45</v>
      </c>
      <c r="B25" s="28" t="s">
        <v>57</v>
      </c>
      <c r="C25" s="29">
        <f>C7-C10+C20</f>
        <v>3943690</v>
      </c>
      <c r="D25" s="29">
        <f>D7-D10+D20</f>
        <v>2735527.8800000027</v>
      </c>
      <c r="E25" s="29">
        <f>E7-E10+E20</f>
        <v>1461145.8800000027</v>
      </c>
      <c r="F25" s="29">
        <f>F7-F10+F20</f>
        <v>2335118.8800000027</v>
      </c>
      <c r="G25" s="29">
        <f>G7-G10+G20</f>
        <v>5272738</v>
      </c>
      <c r="H25" s="29">
        <f>H7-H10+H20</f>
        <v>5589817.594999999</v>
      </c>
      <c r="I25" s="29">
        <f>I7-I10+I20</f>
        <v>8092265.286189996</v>
      </c>
      <c r="J25" s="29">
        <f>J7-J10+J20</f>
        <v>7950974.060482845</v>
      </c>
      <c r="K25" s="29">
        <f>K7-K10+K20</f>
        <v>8644075.796872929</v>
      </c>
      <c r="L25" s="29">
        <f>L7-L10+L20</f>
        <v>8712649.593683861</v>
      </c>
      <c r="M25" s="29">
        <f>M7-M10+M20</f>
        <v>7944122.982446961</v>
      </c>
      <c r="N25" s="29">
        <f>N7-N10+N20</f>
        <v>8455253.337041505</v>
      </c>
      <c r="O25" s="29">
        <f>O7-O10+O20</f>
        <v>8689378.730704963</v>
      </c>
      <c r="P25" s="29">
        <f>P7-P10+P20</f>
        <v>8528221.555273376</v>
      </c>
      <c r="Q25" s="29">
        <f>Q7-Q10+Q20</f>
        <v>9122163.497210316</v>
      </c>
      <c r="R25" s="29">
        <f>R7-R10+R20</f>
        <v>12071025.263276316</v>
      </c>
    </row>
    <row r="26" spans="1:18" s="12" customFormat="1" ht="34.5" customHeight="1">
      <c r="A26" s="9" t="s">
        <v>58</v>
      </c>
      <c r="B26" s="10" t="s">
        <v>59</v>
      </c>
      <c r="C26" s="11">
        <f>C27+C34+C36</f>
        <v>1778408</v>
      </c>
      <c r="D26" s="11">
        <f>D27+D34+D36</f>
        <v>2171564</v>
      </c>
      <c r="E26" s="11">
        <f>E27+E34+E36</f>
        <v>2378635</v>
      </c>
      <c r="F26" s="11">
        <f>F27+F34+F36</f>
        <v>3304878</v>
      </c>
      <c r="G26" s="11">
        <f>G27+G34+G36</f>
        <v>5849431</v>
      </c>
      <c r="H26" s="11">
        <f>H27+H34+H36</f>
        <v>5659321</v>
      </c>
      <c r="I26" s="11">
        <f>I27+I34+I36</f>
        <v>6474497</v>
      </c>
      <c r="J26" s="11">
        <f>J27+J34+J36</f>
        <v>6148392</v>
      </c>
      <c r="K26" s="11">
        <f>K27+K34+K36</f>
        <v>5634556</v>
      </c>
      <c r="L26" s="11">
        <f>L27+L34+L36</f>
        <v>5428955</v>
      </c>
      <c r="M26" s="11">
        <f>M27+M34+M36</f>
        <v>5191562</v>
      </c>
      <c r="N26" s="11">
        <f>N27+N34+N36</f>
        <v>4996314</v>
      </c>
      <c r="O26" s="11">
        <f>O27+O34+O36</f>
        <v>2801542</v>
      </c>
      <c r="P26" s="11">
        <f>P27+P34+P36</f>
        <v>2598065</v>
      </c>
      <c r="Q26" s="11">
        <f>Q27+Q34+Q36</f>
        <v>402607</v>
      </c>
      <c r="R26" s="11">
        <f>R27+R34+R36</f>
        <v>417320</v>
      </c>
    </row>
    <row r="27" spans="1:24" s="33" customFormat="1" ht="21.75" customHeight="1">
      <c r="A27" s="6" t="s">
        <v>60</v>
      </c>
      <c r="B27" s="30" t="s">
        <v>61</v>
      </c>
      <c r="C27" s="31">
        <f>C28+C30+C32</f>
        <v>251721</v>
      </c>
      <c r="D27" s="31">
        <f>D28+D30+D32</f>
        <v>420997</v>
      </c>
      <c r="E27" s="31">
        <f>E28+E30+E32</f>
        <v>870521</v>
      </c>
      <c r="F27" s="31">
        <f>F28+F30+F32</f>
        <v>1925429</v>
      </c>
      <c r="G27" s="31">
        <f>G28+G30+G32</f>
        <v>2010185</v>
      </c>
      <c r="H27" s="31">
        <f>H28+H30+H32</f>
        <v>1820085</v>
      </c>
      <c r="I27" s="31">
        <f>I28+I30+I32</f>
        <v>1906002</v>
      </c>
      <c r="J27" s="31">
        <f>J28+J30+J32</f>
        <v>1642009</v>
      </c>
      <c r="K27" s="31">
        <f>K28+K30+K32</f>
        <v>1429813</v>
      </c>
      <c r="L27" s="31">
        <f>L28+L30+L32</f>
        <v>1224212</v>
      </c>
      <c r="M27" s="31">
        <f>M28+M30+M32</f>
        <v>986819</v>
      </c>
      <c r="N27" s="31">
        <f>N28+N30+N32</f>
        <v>791571</v>
      </c>
      <c r="O27" s="31">
        <f>O28+O30+O32</f>
        <v>596799</v>
      </c>
      <c r="P27" s="31">
        <f>P28+P30+P32</f>
        <v>504432</v>
      </c>
      <c r="Q27" s="31">
        <f>Q28+Q30+Q32</f>
        <v>402607</v>
      </c>
      <c r="R27" s="31">
        <f>R28+R30+R32</f>
        <v>417320</v>
      </c>
      <c r="S27" s="32"/>
      <c r="T27" s="32"/>
      <c r="U27" s="32"/>
      <c r="V27" s="32"/>
      <c r="W27" s="32"/>
      <c r="X27" s="32"/>
    </row>
    <row r="28" spans="1:24" ht="21.75" customHeight="1">
      <c r="A28" s="7" t="s">
        <v>62</v>
      </c>
      <c r="B28" s="13" t="s">
        <v>63</v>
      </c>
      <c r="C28" s="15">
        <v>251721</v>
      </c>
      <c r="D28" s="15">
        <v>420997</v>
      </c>
      <c r="E28" s="15">
        <v>870521</v>
      </c>
      <c r="F28" s="15">
        <v>1482024</v>
      </c>
      <c r="G28" s="15">
        <v>1588989</v>
      </c>
      <c r="H28" s="15">
        <v>1421498</v>
      </c>
      <c r="I28" s="15">
        <v>1503974</v>
      </c>
      <c r="J28" s="15">
        <v>1236357</v>
      </c>
      <c r="K28" s="15">
        <v>1020323</v>
      </c>
      <c r="L28" s="15">
        <v>809784</v>
      </c>
      <c r="M28" s="15">
        <v>603245</v>
      </c>
      <c r="N28" s="15">
        <v>396706</v>
      </c>
      <c r="O28" s="15">
        <v>190167</v>
      </c>
      <c r="P28" s="15">
        <v>93028</v>
      </c>
      <c r="Q28" s="15">
        <v>0</v>
      </c>
      <c r="R28" s="15">
        <v>0</v>
      </c>
      <c r="S28" s="34"/>
      <c r="T28" s="34"/>
      <c r="U28" s="34"/>
      <c r="V28" s="34"/>
      <c r="W28" s="34"/>
      <c r="X28" s="34"/>
    </row>
    <row r="29" spans="1:24" s="39" customFormat="1" ht="49.5" customHeight="1">
      <c r="A29" s="7"/>
      <c r="B29" s="35" t="s">
        <v>64</v>
      </c>
      <c r="C29" s="35"/>
      <c r="D29" s="35"/>
      <c r="E29" s="35"/>
      <c r="F29" s="36"/>
      <c r="G29" s="36"/>
      <c r="H29" s="36"/>
      <c r="I29" s="36"/>
      <c r="J29" s="36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8"/>
      <c r="X29" s="38"/>
    </row>
    <row r="30" spans="1:24" ht="38.25" customHeight="1">
      <c r="A30" s="7" t="s">
        <v>65</v>
      </c>
      <c r="B30" s="13" t="s">
        <v>66</v>
      </c>
      <c r="C30" s="15"/>
      <c r="D30" s="40"/>
      <c r="E30" s="40"/>
      <c r="F30" s="40">
        <v>443405</v>
      </c>
      <c r="G30" s="40">
        <v>421196</v>
      </c>
      <c r="H30" s="41">
        <v>398587</v>
      </c>
      <c r="I30" s="41">
        <v>402028</v>
      </c>
      <c r="J30" s="41">
        <v>405652</v>
      </c>
      <c r="K30" s="41">
        <v>409490</v>
      </c>
      <c r="L30" s="41">
        <v>414428</v>
      </c>
      <c r="M30" s="41">
        <v>383574</v>
      </c>
      <c r="N30" s="41">
        <v>394865</v>
      </c>
      <c r="O30" s="18">
        <v>406632</v>
      </c>
      <c r="P30" s="18">
        <v>411404</v>
      </c>
      <c r="Q30" s="18">
        <v>402607</v>
      </c>
      <c r="R30" s="18">
        <v>417320</v>
      </c>
      <c r="S30" s="34"/>
      <c r="T30" s="34"/>
      <c r="U30" s="34"/>
      <c r="V30" s="34"/>
      <c r="W30" s="34"/>
      <c r="X30" s="34"/>
    </row>
    <row r="31" spans="1:24" s="39" customFormat="1" ht="53.25" customHeight="1">
      <c r="A31" s="7"/>
      <c r="B31" s="35" t="s">
        <v>67</v>
      </c>
      <c r="C31" s="35"/>
      <c r="D31" s="35"/>
      <c r="E31" s="35"/>
      <c r="F31" s="36"/>
      <c r="G31" s="36"/>
      <c r="H31" s="36"/>
      <c r="I31" s="36"/>
      <c r="J31" s="36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8"/>
    </row>
    <row r="32" spans="1:24" ht="42" customHeight="1">
      <c r="A32" s="7" t="s">
        <v>68</v>
      </c>
      <c r="B32" s="13" t="s">
        <v>69</v>
      </c>
      <c r="C32" s="15">
        <v>0</v>
      </c>
      <c r="D32" s="15">
        <v>0</v>
      </c>
      <c r="E32" s="15">
        <v>0</v>
      </c>
      <c r="F32" s="22">
        <f>'załacznik 2'!I45</f>
        <v>0</v>
      </c>
      <c r="G32" s="22">
        <f>'załacznik 2'!J45</f>
        <v>0</v>
      </c>
      <c r="H32" s="22">
        <f>'załacznik 2'!K45</f>
        <v>0</v>
      </c>
      <c r="I32" s="22">
        <f>'załacznik 2'!L45</f>
        <v>0</v>
      </c>
      <c r="J32" s="22">
        <f>'załacznik 2'!M45</f>
        <v>0</v>
      </c>
      <c r="K32" s="22">
        <f>'załacznik 2'!V45</f>
        <v>0</v>
      </c>
      <c r="L32" s="22">
        <f>'załacznik 2'!W45</f>
        <v>0</v>
      </c>
      <c r="M32" s="22">
        <f>'załacznik 2'!X45</f>
        <v>0</v>
      </c>
      <c r="N32" s="22">
        <f>'załacznik 2'!Y45</f>
        <v>0</v>
      </c>
      <c r="O32" s="22">
        <f>'załacznik 2'!Z45</f>
        <v>0</v>
      </c>
      <c r="P32" s="22">
        <f>'załacznik 2'!AA45</f>
        <v>0</v>
      </c>
      <c r="Q32" s="22">
        <f>'załacznik 2'!Y45</f>
        <v>0</v>
      </c>
      <c r="R32" s="22">
        <f>'załacznik 2'!Z45</f>
        <v>0</v>
      </c>
      <c r="S32" s="34"/>
      <c r="T32" s="34"/>
      <c r="U32" s="34"/>
      <c r="V32" s="34"/>
      <c r="W32" s="34"/>
      <c r="X32" s="34"/>
    </row>
    <row r="33" spans="1:24" s="33" customFormat="1" ht="54.75" customHeight="1">
      <c r="A33" s="7"/>
      <c r="B33" s="35" t="s">
        <v>70</v>
      </c>
      <c r="C33" s="35"/>
      <c r="D33" s="35"/>
      <c r="E33" s="35"/>
      <c r="F33" s="36"/>
      <c r="G33" s="36"/>
      <c r="H33" s="36"/>
      <c r="I33" s="36"/>
      <c r="J33" s="36"/>
      <c r="K33" s="42"/>
      <c r="L33" s="42"/>
      <c r="M33" s="42"/>
      <c r="N33" s="42"/>
      <c r="O33" s="42"/>
      <c r="P33" s="42"/>
      <c r="Q33" s="42"/>
      <c r="R33" s="42"/>
      <c r="S33" s="32"/>
      <c r="T33" s="32"/>
      <c r="U33" s="32"/>
      <c r="V33" s="32"/>
      <c r="W33" s="32"/>
      <c r="X33" s="32"/>
    </row>
    <row r="34" spans="1:24" s="33" customFormat="1" ht="34.5" customHeight="1">
      <c r="A34" s="6" t="s">
        <v>71</v>
      </c>
      <c r="B34" s="30" t="s">
        <v>72</v>
      </c>
      <c r="C34" s="22">
        <v>1526687</v>
      </c>
      <c r="D34" s="11">
        <v>1750567</v>
      </c>
      <c r="E34" s="11">
        <v>1508114</v>
      </c>
      <c r="F34" s="11">
        <v>1379449</v>
      </c>
      <c r="G34" s="11">
        <v>3839246</v>
      </c>
      <c r="H34" s="11">
        <v>3839236</v>
      </c>
      <c r="I34" s="11">
        <v>4568495</v>
      </c>
      <c r="J34" s="11">
        <v>4506383</v>
      </c>
      <c r="K34" s="11">
        <v>4204743</v>
      </c>
      <c r="L34" s="11">
        <v>4204743</v>
      </c>
      <c r="M34" s="11">
        <v>4204743</v>
      </c>
      <c r="N34" s="11">
        <v>4204743</v>
      </c>
      <c r="O34" s="11">
        <v>2204743</v>
      </c>
      <c r="P34" s="11">
        <v>2093633</v>
      </c>
      <c r="Q34" s="11">
        <f>Q14</f>
        <v>0</v>
      </c>
      <c r="R34" s="11">
        <f>R14</f>
        <v>0</v>
      </c>
      <c r="S34" s="32"/>
      <c r="T34" s="32"/>
      <c r="U34" s="32"/>
      <c r="V34" s="32"/>
      <c r="W34" s="32"/>
      <c r="X34" s="32"/>
    </row>
    <row r="35" spans="1:18" s="45" customFormat="1" ht="51.75" customHeight="1">
      <c r="A35" s="18"/>
      <c r="B35" s="36" t="s">
        <v>73</v>
      </c>
      <c r="C35" s="43">
        <v>0</v>
      </c>
      <c r="D35" s="43">
        <v>0</v>
      </c>
      <c r="E35" s="43">
        <v>0</v>
      </c>
      <c r="F35" s="43">
        <v>395449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</row>
    <row r="36" spans="1:24" s="33" customFormat="1" ht="30" customHeight="1">
      <c r="A36" s="6" t="s">
        <v>74</v>
      </c>
      <c r="B36" s="30" t="s">
        <v>75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32"/>
      <c r="T36" s="32"/>
      <c r="U36" s="32"/>
      <c r="V36" s="32"/>
      <c r="W36" s="32"/>
      <c r="X36" s="32"/>
    </row>
    <row r="37" spans="1:24" s="33" customFormat="1" ht="60.75" customHeight="1">
      <c r="A37" s="46" t="s">
        <v>45</v>
      </c>
      <c r="B37" s="28" t="s">
        <v>76</v>
      </c>
      <c r="C37" s="47">
        <f>C7-C10+C20-C27</f>
        <v>3691969</v>
      </c>
      <c r="D37" s="47">
        <f>D7-D10+D20-D27</f>
        <v>2314530.8800000027</v>
      </c>
      <c r="E37" s="47">
        <f>E7-E10+E20-E27</f>
        <v>590624.8800000027</v>
      </c>
      <c r="F37" s="48">
        <f>F7-F10+F20-F27</f>
        <v>409689.8800000027</v>
      </c>
      <c r="G37" s="48">
        <f>G7-G10+G20-G27</f>
        <v>3262553</v>
      </c>
      <c r="H37" s="48">
        <f>H7-H10+H20-H27</f>
        <v>3769732.594999999</v>
      </c>
      <c r="I37" s="48">
        <f>I7-I10+I20-I27</f>
        <v>6186263.286189996</v>
      </c>
      <c r="J37" s="48">
        <f>J7-J10+J20-J27</f>
        <v>6308965.060482845</v>
      </c>
      <c r="K37" s="48">
        <f>K7-K10+K20-K27</f>
        <v>7214262.796872929</v>
      </c>
      <c r="L37" s="48">
        <f>L7-L10+L20-L27</f>
        <v>7488437.593683861</v>
      </c>
      <c r="M37" s="48">
        <f>M7-M10+M20-M27</f>
        <v>6957303.982446961</v>
      </c>
      <c r="N37" s="48">
        <f>N7-N10+N20-N27</f>
        <v>7663682.337041505</v>
      </c>
      <c r="O37" s="48">
        <f>O7-O10+O20-O27</f>
        <v>8092579.730704963</v>
      </c>
      <c r="P37" s="48">
        <f>P7-P10+P20-P27</f>
        <v>8023789.555273376</v>
      </c>
      <c r="Q37" s="48">
        <f>Q7-Q10+Q20-Q27</f>
        <v>8719556.497210316</v>
      </c>
      <c r="R37" s="48">
        <f>R7-R10+R20-R27</f>
        <v>11653705.263276316</v>
      </c>
      <c r="S37" s="32"/>
      <c r="T37" s="32"/>
      <c r="U37" s="32"/>
      <c r="V37" s="32"/>
      <c r="W37" s="32"/>
      <c r="X37" s="32"/>
    </row>
    <row r="38" spans="1:24" s="12" customFormat="1" ht="33.75" customHeight="1">
      <c r="A38" s="9" t="s">
        <v>77</v>
      </c>
      <c r="B38" s="10" t="s">
        <v>78</v>
      </c>
      <c r="C38" s="11">
        <f>C24-C26-C36</f>
        <v>4171282</v>
      </c>
      <c r="D38" s="11">
        <f>D24-D26-D36</f>
        <v>1771109.8800000027</v>
      </c>
      <c r="E38" s="11">
        <f>E24-E26-E36</f>
        <v>3175607.8800000027</v>
      </c>
      <c r="F38" s="11">
        <f>F24-F26-F36</f>
        <v>3987853.8800000027</v>
      </c>
      <c r="G38" s="11">
        <f>G24-G26-G36</f>
        <v>4698307</v>
      </c>
      <c r="H38" s="11">
        <f>H24-H26-H36</f>
        <v>3284621.594999999</v>
      </c>
      <c r="I38" s="11">
        <f>I24-I26-I36</f>
        <v>2905780.7861899957</v>
      </c>
      <c r="J38" s="11">
        <f>J24-J26-J36</f>
        <v>3180755.4354828447</v>
      </c>
      <c r="K38" s="11">
        <f>K24-K26-K36</f>
        <v>3559519.7968729287</v>
      </c>
      <c r="L38" s="11">
        <f>L24-L26-L36</f>
        <v>3541944.593683861</v>
      </c>
      <c r="M38" s="11">
        <f>M24-M26-M36</f>
        <v>3014684.732446961</v>
      </c>
      <c r="N38" s="11">
        <f>N24-N26-N36</f>
        <v>3758939.3370415047</v>
      </c>
      <c r="O38" s="11">
        <f>O24-O26-O36</f>
        <v>6192336.730704963</v>
      </c>
      <c r="P38" s="11">
        <f>P24-P26-P36</f>
        <v>6239224.055273376</v>
      </c>
      <c r="Q38" s="11">
        <f>Q24-Q26-Q36</f>
        <v>9033260.00971032</v>
      </c>
      <c r="R38" s="11">
        <f>R24-R26-R36</f>
        <v>11972114.328463815</v>
      </c>
      <c r="S38" s="49"/>
      <c r="T38" s="49"/>
      <c r="U38" s="49"/>
      <c r="V38" s="49"/>
      <c r="W38" s="49"/>
      <c r="X38" s="49"/>
    </row>
    <row r="39" spans="1:24" s="12" customFormat="1" ht="33.75" customHeight="1">
      <c r="A39" s="9" t="s">
        <v>79</v>
      </c>
      <c r="B39" s="10" t="s">
        <v>80</v>
      </c>
      <c r="C39" s="11">
        <f>C40+C44</f>
        <v>5093357</v>
      </c>
      <c r="D39" s="11">
        <f>D40+D44</f>
        <v>11888305</v>
      </c>
      <c r="E39" s="11">
        <f>E40+E44</f>
        <v>13489805</v>
      </c>
      <c r="F39" s="11">
        <f>F40+F44</f>
        <v>12252713</v>
      </c>
      <c r="G39" s="11">
        <f>G40+G44</f>
        <v>4691629</v>
      </c>
      <c r="H39" s="11">
        <f>H40+H44</f>
        <v>9286692</v>
      </c>
      <c r="I39" s="11">
        <f>I40+I44</f>
        <v>6524000</v>
      </c>
      <c r="J39" s="11">
        <f>J40+J44</f>
        <v>3000000</v>
      </c>
      <c r="K39" s="11">
        <f>K40+K44</f>
        <v>2340000</v>
      </c>
      <c r="L39" s="11">
        <f>L40+L44</f>
        <v>3500000</v>
      </c>
      <c r="M39" s="11">
        <f>M40+M44</f>
        <v>3000000</v>
      </c>
      <c r="N39" s="11">
        <f>N40+N44</f>
        <v>2860000</v>
      </c>
      <c r="O39" s="11">
        <f>O40+O44</f>
        <v>6100000</v>
      </c>
      <c r="P39" s="11">
        <f>P40+P44</f>
        <v>6200000</v>
      </c>
      <c r="Q39" s="11">
        <f>Q40+Q44</f>
        <v>6820000.000000001</v>
      </c>
      <c r="R39" s="11">
        <f>R40+R44</f>
        <v>5456000.000000001</v>
      </c>
      <c r="S39" s="49"/>
      <c r="T39" s="49"/>
      <c r="U39" s="49"/>
      <c r="V39" s="49"/>
      <c r="W39" s="49"/>
      <c r="X39" s="49"/>
    </row>
    <row r="40" spans="1:24" ht="33" customHeight="1">
      <c r="A40" s="7" t="s">
        <v>81</v>
      </c>
      <c r="B40" s="13" t="s">
        <v>82</v>
      </c>
      <c r="C40" s="18">
        <f>C41+C43</f>
        <v>0</v>
      </c>
      <c r="D40" s="18">
        <f>D41+D43</f>
        <v>0</v>
      </c>
      <c r="E40" s="18">
        <f>E41+E43</f>
        <v>0</v>
      </c>
      <c r="F40" s="18">
        <f>F41+F43+F42</f>
        <v>1500000</v>
      </c>
      <c r="G40" s="18">
        <f>G41+G43+G42</f>
        <v>4691629</v>
      </c>
      <c r="H40" s="18">
        <f>H41+H43+H42</f>
        <v>9286692</v>
      </c>
      <c r="I40" s="18">
        <f>I41+I43+I42</f>
        <v>5340000</v>
      </c>
      <c r="J40" s="18">
        <f>J41+J43+J42</f>
        <v>1000000</v>
      </c>
      <c r="K40" s="18">
        <f>K41+K43+K42</f>
        <v>340000</v>
      </c>
      <c r="L40" s="18">
        <f>L41+L43+L42</f>
        <v>700000</v>
      </c>
      <c r="M40" s="18">
        <f>M41+M43+M42</f>
        <v>400000</v>
      </c>
      <c r="N40" s="18">
        <f>N41+N43+N42</f>
        <v>0</v>
      </c>
      <c r="O40" s="18">
        <f>O41+O43+O42</f>
        <v>0</v>
      </c>
      <c r="P40" s="18">
        <f>P41+P43+P42</f>
        <v>0</v>
      </c>
      <c r="Q40" s="18">
        <f>Q41+Q43+Q42</f>
        <v>0</v>
      </c>
      <c r="R40" s="18">
        <f>R41+R43+R42</f>
        <v>0</v>
      </c>
      <c r="S40" s="34"/>
      <c r="T40" s="34"/>
      <c r="U40" s="34"/>
      <c r="V40" s="34"/>
      <c r="W40" s="34"/>
      <c r="X40" s="34"/>
    </row>
    <row r="41" spans="1:24" ht="48" customHeight="1">
      <c r="A41" s="7"/>
      <c r="B41" s="20" t="s">
        <v>83</v>
      </c>
      <c r="C41" s="15"/>
      <c r="D41" s="15"/>
      <c r="E41" s="15"/>
      <c r="F41" s="18">
        <f>'załacznik 2'!I11</f>
        <v>800000</v>
      </c>
      <c r="G41" s="18">
        <f>'załacznik 2'!J11</f>
        <v>4691629</v>
      </c>
      <c r="H41" s="18">
        <f>'załacznik 2'!K11</f>
        <v>6386692</v>
      </c>
      <c r="I41" s="18">
        <f>'załacznik 2'!L11</f>
        <v>640000</v>
      </c>
      <c r="J41" s="18">
        <f>'załacznik 2'!M11</f>
        <v>0</v>
      </c>
      <c r="K41" s="18">
        <f>'załacznik 2'!N11</f>
        <v>0</v>
      </c>
      <c r="L41" s="18">
        <f>'załacznik 2'!O11</f>
        <v>0</v>
      </c>
      <c r="M41" s="18">
        <f>'załacznik 2'!P11</f>
        <v>0</v>
      </c>
      <c r="N41" s="18">
        <f>'załacznik 2'!Q11</f>
        <v>0</v>
      </c>
      <c r="O41" s="18">
        <f>'załacznik 2'!R11</f>
        <v>0</v>
      </c>
      <c r="P41" s="18">
        <f>'załacznik 2'!S11</f>
        <v>0</v>
      </c>
      <c r="Q41" s="18">
        <f>'załacznik 2'!T11</f>
        <v>0</v>
      </c>
      <c r="R41" s="18">
        <f>'załacznik 2'!U11</f>
        <v>0</v>
      </c>
      <c r="S41" s="34"/>
      <c r="T41" s="34"/>
      <c r="U41" s="34"/>
      <c r="V41" s="34"/>
      <c r="W41" s="34"/>
      <c r="X41" s="34"/>
    </row>
    <row r="42" spans="1:24" ht="30" customHeight="1">
      <c r="A42" s="7"/>
      <c r="B42" s="20" t="s">
        <v>84</v>
      </c>
      <c r="C42" s="15"/>
      <c r="D42" s="15"/>
      <c r="E42" s="15"/>
      <c r="F42" s="18">
        <f>'załacznik 2'!I38</f>
        <v>700000</v>
      </c>
      <c r="G42" s="18">
        <f>'załacznik 2'!J38</f>
        <v>0</v>
      </c>
      <c r="H42" s="18">
        <f>'załacznik 2'!K38</f>
        <v>2900000</v>
      </c>
      <c r="I42" s="18">
        <f>'załacznik 2'!L38</f>
        <v>4700000</v>
      </c>
      <c r="J42" s="18">
        <f>'załacznik 2'!M38</f>
        <v>1000000</v>
      </c>
      <c r="K42" s="18">
        <f>'załacznik 2'!N38</f>
        <v>340000</v>
      </c>
      <c r="L42" s="18">
        <f>'załacznik 2'!O38</f>
        <v>700000</v>
      </c>
      <c r="M42" s="18">
        <f>'załacznik 2'!P38</f>
        <v>400000</v>
      </c>
      <c r="N42" s="18">
        <f>'załacznik 2'!Q38</f>
        <v>0</v>
      </c>
      <c r="O42" s="18">
        <f>'załacznik 2'!R38</f>
        <v>0</v>
      </c>
      <c r="P42" s="18">
        <f>'załacznik 2'!S38</f>
        <v>0</v>
      </c>
      <c r="Q42" s="18">
        <f>'załacznik 2'!T38</f>
        <v>0</v>
      </c>
      <c r="R42" s="18">
        <f>'załacznik 2'!U38</f>
        <v>0</v>
      </c>
      <c r="S42" s="34"/>
      <c r="T42" s="34"/>
      <c r="U42" s="34"/>
      <c r="V42" s="34"/>
      <c r="W42" s="34"/>
      <c r="X42" s="34"/>
    </row>
    <row r="43" spans="1:24" ht="21.75" customHeight="1">
      <c r="A43" s="7"/>
      <c r="B43" s="20" t="s">
        <v>39</v>
      </c>
      <c r="C43" s="15"/>
      <c r="D43" s="15"/>
      <c r="E43" s="15"/>
      <c r="F43" s="18">
        <f>'załacznik 2'!I30</f>
        <v>0</v>
      </c>
      <c r="G43" s="18">
        <f>'załacznik 2'!J30</f>
        <v>0</v>
      </c>
      <c r="H43" s="18">
        <f>'załacznik 2'!K30</f>
        <v>0</v>
      </c>
      <c r="I43" s="18">
        <f>'załacznik 2'!L30</f>
        <v>0</v>
      </c>
      <c r="J43" s="18">
        <f>'załacznik 2'!M30</f>
        <v>0</v>
      </c>
      <c r="K43" s="18">
        <f>'załacznik 2'!V30</f>
        <v>0</v>
      </c>
      <c r="L43" s="18">
        <f>'załacznik 2'!W30</f>
        <v>0</v>
      </c>
      <c r="M43" s="18">
        <f>'załacznik 2'!X30</f>
        <v>0</v>
      </c>
      <c r="N43" s="18">
        <f>'załacznik 2'!Y30</f>
        <v>0</v>
      </c>
      <c r="O43" s="18">
        <f>'załacznik 2'!Z30</f>
        <v>0</v>
      </c>
      <c r="P43" s="18">
        <f>'załacznik 2'!X30</f>
        <v>0</v>
      </c>
      <c r="Q43" s="18">
        <f>'załacznik 2'!Y30</f>
        <v>0</v>
      </c>
      <c r="R43" s="50"/>
      <c r="S43" s="34"/>
      <c r="T43" s="34"/>
      <c r="U43" s="34"/>
      <c r="V43" s="34"/>
      <c r="W43" s="34"/>
      <c r="X43" s="34"/>
    </row>
    <row r="44" spans="1:24" ht="21.75" customHeight="1">
      <c r="A44" s="7" t="s">
        <v>85</v>
      </c>
      <c r="B44" s="13" t="s">
        <v>86</v>
      </c>
      <c r="C44" s="15">
        <v>5093357</v>
      </c>
      <c r="D44" s="15">
        <v>11888305</v>
      </c>
      <c r="E44" s="15">
        <f>16656085-72000-350000-697000-28440-147740-250100-1268000-353000</f>
        <v>13489805</v>
      </c>
      <c r="F44" s="15">
        <f>12252713-F40</f>
        <v>10752713</v>
      </c>
      <c r="G44" s="15">
        <v>0</v>
      </c>
      <c r="H44" s="15">
        <v>0</v>
      </c>
      <c r="I44" s="17">
        <f>1200000-16000</f>
        <v>1184000</v>
      </c>
      <c r="J44" s="17">
        <v>2000000</v>
      </c>
      <c r="K44" s="17">
        <f>J44*1.1-200000</f>
        <v>2000000</v>
      </c>
      <c r="L44" s="17">
        <v>2800000</v>
      </c>
      <c r="M44" s="17">
        <v>2600000</v>
      </c>
      <c r="N44" s="17">
        <f>M44*1.1</f>
        <v>2860000</v>
      </c>
      <c r="O44" s="17">
        <v>6100000</v>
      </c>
      <c r="P44" s="17">
        <v>6200000</v>
      </c>
      <c r="Q44" s="17">
        <f>P44*1.1</f>
        <v>6820000.000000001</v>
      </c>
      <c r="R44" s="17">
        <f>Q44*0.8</f>
        <v>5456000.000000001</v>
      </c>
      <c r="S44" s="34"/>
      <c r="T44" s="34"/>
      <c r="U44" s="34"/>
      <c r="V44" s="34"/>
      <c r="W44" s="34"/>
      <c r="X44" s="34"/>
    </row>
    <row r="45" spans="1:24" s="12" customFormat="1" ht="32.25" customHeight="1">
      <c r="A45" s="9" t="s">
        <v>87</v>
      </c>
      <c r="B45" s="10" t="s">
        <v>88</v>
      </c>
      <c r="C45" s="51">
        <v>749491</v>
      </c>
      <c r="D45" s="51">
        <f>8000000+2999160</f>
        <v>10999160</v>
      </c>
      <c r="E45" s="51">
        <f>8000000+500000+1508200+500000</f>
        <v>10508200</v>
      </c>
      <c r="F45" s="51">
        <f>-(F6-F10+F20-F26-F39)</f>
        <v>8264859.119999997</v>
      </c>
      <c r="G45" s="51"/>
      <c r="H45" s="51">
        <f>-(H6-H10+H20-H26-H39)</f>
        <v>6002070.405000001</v>
      </c>
      <c r="I45" s="51">
        <f>-(I6-I10+I20-I26-I39)</f>
        <v>3618219.2138100043</v>
      </c>
      <c r="J45" s="51"/>
      <c r="K45" s="51"/>
      <c r="L45" s="51"/>
      <c r="M45" s="52"/>
      <c r="N45" s="52"/>
      <c r="O45" s="52"/>
      <c r="P45" s="52"/>
      <c r="Q45" s="52"/>
      <c r="R45" s="52"/>
      <c r="S45" s="49"/>
      <c r="T45" s="49"/>
      <c r="U45" s="49"/>
      <c r="V45" s="49"/>
      <c r="W45" s="49"/>
      <c r="X45" s="49"/>
    </row>
    <row r="46" spans="1:24" s="39" customFormat="1" ht="53.25" customHeight="1">
      <c r="A46" s="53"/>
      <c r="B46" s="35" t="s">
        <v>64</v>
      </c>
      <c r="C46" s="35"/>
      <c r="D46" s="35"/>
      <c r="E46" s="35"/>
      <c r="F46" s="43">
        <v>3491613</v>
      </c>
      <c r="G46" s="36"/>
      <c r="H46" s="36"/>
      <c r="I46" s="36"/>
      <c r="J46" s="36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</row>
    <row r="47" spans="1:24" s="12" customFormat="1" ht="26.25" customHeight="1">
      <c r="A47" s="9" t="s">
        <v>89</v>
      </c>
      <c r="B47" s="10" t="s">
        <v>90</v>
      </c>
      <c r="C47" s="11">
        <f>C38-C39+C45</f>
        <v>-172584</v>
      </c>
      <c r="D47" s="11">
        <f>D38-D39+D45</f>
        <v>881964.8800000027</v>
      </c>
      <c r="E47" s="11">
        <f>E38-E39+E45</f>
        <v>194002.88000000268</v>
      </c>
      <c r="F47" s="11">
        <f>F38-F39+F45</f>
        <v>0</v>
      </c>
      <c r="G47" s="11">
        <f>G38-G39+G45</f>
        <v>6678</v>
      </c>
      <c r="H47" s="11">
        <f>H38-H39+H45</f>
        <v>0</v>
      </c>
      <c r="I47" s="11">
        <f>I38-I39+I45</f>
        <v>0</v>
      </c>
      <c r="J47" s="11">
        <f>J38-J39+J45</f>
        <v>180755.4354828447</v>
      </c>
      <c r="K47" s="11">
        <f>K38-K39+K45</f>
        <v>1219519.7968729287</v>
      </c>
      <c r="L47" s="11">
        <f>L38-L39+L45</f>
        <v>41944.593683861196</v>
      </c>
      <c r="M47" s="11">
        <f>M38-M39+M45</f>
        <v>14684.732446961105</v>
      </c>
      <c r="N47" s="11">
        <f>N38-N39+N45</f>
        <v>898939.3370415047</v>
      </c>
      <c r="O47" s="11">
        <f>O38-O39+O45</f>
        <v>92336.7307049632</v>
      </c>
      <c r="P47" s="11">
        <f>P38-P39+P45</f>
        <v>39224.055273376405</v>
      </c>
      <c r="Q47" s="11">
        <f>Q38-Q39+Q45</f>
        <v>2213260.0097103184</v>
      </c>
      <c r="R47" s="11">
        <f>R38-R39+R45</f>
        <v>6516114.328463814</v>
      </c>
      <c r="S47" s="49"/>
      <c r="T47" s="49"/>
      <c r="U47" s="49"/>
      <c r="V47" s="49"/>
      <c r="W47" s="49"/>
      <c r="X47" s="49"/>
    </row>
    <row r="48" spans="1:24" ht="34.5" customHeight="1">
      <c r="A48" s="6" t="s">
        <v>91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4"/>
      <c r="T48" s="34"/>
      <c r="U48" s="34"/>
      <c r="V48" s="34"/>
      <c r="W48" s="34"/>
      <c r="X48" s="34"/>
    </row>
    <row r="49" spans="1:24" s="1" customFormat="1" ht="24.75" customHeight="1">
      <c r="A49" s="7" t="s">
        <v>2</v>
      </c>
      <c r="B49" s="7" t="s">
        <v>3</v>
      </c>
      <c r="C49" s="7" t="s">
        <v>4</v>
      </c>
      <c r="D49" s="7"/>
      <c r="E49" s="7" t="s">
        <v>5</v>
      </c>
      <c r="F49" s="18" t="s">
        <v>6</v>
      </c>
      <c r="G49" s="18" t="s">
        <v>7</v>
      </c>
      <c r="H49" s="18"/>
      <c r="I49" s="18"/>
      <c r="J49" s="18"/>
      <c r="K49" s="54"/>
      <c r="L49" s="18"/>
      <c r="M49" s="18"/>
      <c r="N49" s="18"/>
      <c r="O49" s="18"/>
      <c r="P49" s="18"/>
      <c r="Q49" s="18"/>
      <c r="R49" s="18"/>
      <c r="S49" s="55"/>
      <c r="T49" s="55"/>
      <c r="U49" s="55"/>
      <c r="V49" s="55"/>
      <c r="W49" s="55"/>
      <c r="X49" s="55"/>
    </row>
    <row r="50" spans="1:24" s="1" customFormat="1" ht="30" customHeight="1">
      <c r="A50" s="7"/>
      <c r="B50" s="7"/>
      <c r="C50" s="7" t="s">
        <v>8</v>
      </c>
      <c r="D50" s="7" t="s">
        <v>9</v>
      </c>
      <c r="E50" s="7"/>
      <c r="F50" s="18"/>
      <c r="G50" s="18" t="s">
        <v>10</v>
      </c>
      <c r="H50" s="18" t="s">
        <v>11</v>
      </c>
      <c r="I50" s="18" t="s">
        <v>12</v>
      </c>
      <c r="J50" s="18" t="s">
        <v>13</v>
      </c>
      <c r="K50" s="18" t="s">
        <v>14</v>
      </c>
      <c r="L50" s="18" t="s">
        <v>15</v>
      </c>
      <c r="M50" s="18" t="s">
        <v>16</v>
      </c>
      <c r="N50" s="18" t="s">
        <v>17</v>
      </c>
      <c r="O50" s="18" t="s">
        <v>18</v>
      </c>
      <c r="P50" s="18" t="s">
        <v>19</v>
      </c>
      <c r="Q50" s="18" t="s">
        <v>20</v>
      </c>
      <c r="R50" s="18" t="s">
        <v>21</v>
      </c>
      <c r="S50" s="55"/>
      <c r="T50" s="55"/>
      <c r="U50" s="55"/>
      <c r="V50" s="55"/>
      <c r="W50" s="55"/>
      <c r="X50" s="55"/>
    </row>
    <row r="51" spans="1:24" s="1" customFormat="1" ht="15" customHeight="1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18">
        <v>6</v>
      </c>
      <c r="G51" s="18">
        <v>7</v>
      </c>
      <c r="H51" s="18">
        <v>8</v>
      </c>
      <c r="I51" s="18">
        <v>9</v>
      </c>
      <c r="J51" s="18">
        <v>10</v>
      </c>
      <c r="K51" s="18"/>
      <c r="L51" s="18"/>
      <c r="M51" s="18"/>
      <c r="N51" s="18"/>
      <c r="O51" s="18"/>
      <c r="P51" s="18"/>
      <c r="Q51" s="18"/>
      <c r="R51" s="18"/>
      <c r="S51" s="55"/>
      <c r="T51" s="55"/>
      <c r="U51" s="55"/>
      <c r="V51" s="55"/>
      <c r="W51" s="55"/>
      <c r="X51" s="55"/>
    </row>
    <row r="52" spans="1:24" s="12" customFormat="1" ht="26.25" customHeight="1">
      <c r="A52" s="9" t="s">
        <v>92</v>
      </c>
      <c r="B52" s="10" t="s">
        <v>93</v>
      </c>
      <c r="C52" s="51">
        <v>3116330</v>
      </c>
      <c r="D52" s="51">
        <f>C52+D45-D54</f>
        <v>12364923</v>
      </c>
      <c r="E52" s="51">
        <f>D52+E45-E54</f>
        <v>21365009</v>
      </c>
      <c r="F52" s="51">
        <f>E52+F45-F54</f>
        <v>28250419.119999997</v>
      </c>
      <c r="G52" s="51">
        <f>F52+G45-G54</f>
        <v>24411173.119999997</v>
      </c>
      <c r="H52" s="51">
        <f>G52+H45-H54</f>
        <v>26574007.525</v>
      </c>
      <c r="I52" s="51">
        <f>H52+I45-I54</f>
        <v>25623731.738810003</v>
      </c>
      <c r="J52" s="51">
        <f>I52+J45-J54</f>
        <v>21117348.738810003</v>
      </c>
      <c r="K52" s="51">
        <f>J52+K45-K54</f>
        <v>16912605.738810003</v>
      </c>
      <c r="L52" s="51">
        <f>K52+L45-L54</f>
        <v>12707862.738810003</v>
      </c>
      <c r="M52" s="51">
        <f>L52+M45-M54</f>
        <v>8503119.738810003</v>
      </c>
      <c r="N52" s="51">
        <f>M52+N45-N54</f>
        <v>4298376.738810003</v>
      </c>
      <c r="O52" s="51">
        <f>N52+O45-O54</f>
        <v>2093633.7388100028</v>
      </c>
      <c r="P52" s="51">
        <f>O52+P45-P54</f>
        <v>0.7388100028038025</v>
      </c>
      <c r="Q52" s="11">
        <f>P52+Q45-Q54</f>
        <v>0.7388100028038025</v>
      </c>
      <c r="R52" s="11">
        <f>Q52+R45-R54</f>
        <v>0.7388100028038025</v>
      </c>
      <c r="S52" s="49"/>
      <c r="T52" s="49"/>
      <c r="U52" s="49"/>
      <c r="V52" s="49"/>
      <c r="W52" s="49"/>
      <c r="X52" s="49"/>
    </row>
    <row r="53" spans="1:24" s="39" customFormat="1" ht="51" customHeight="1">
      <c r="A53" s="53"/>
      <c r="B53" s="35" t="s">
        <v>73</v>
      </c>
      <c r="C53" s="56">
        <v>0</v>
      </c>
      <c r="D53" s="56">
        <v>0</v>
      </c>
      <c r="E53" s="56">
        <v>0</v>
      </c>
      <c r="F53" s="43">
        <v>3491613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7"/>
      <c r="S53" s="38"/>
      <c r="T53" s="38"/>
      <c r="U53" s="38"/>
      <c r="V53" s="38"/>
      <c r="W53" s="38"/>
      <c r="X53" s="38"/>
    </row>
    <row r="54" spans="1:24" s="12" customFormat="1" ht="30.75" customHeight="1">
      <c r="A54" s="9" t="s">
        <v>94</v>
      </c>
      <c r="B54" s="10" t="s">
        <v>95</v>
      </c>
      <c r="C54" s="11">
        <f>C34</f>
        <v>1526687</v>
      </c>
      <c r="D54" s="11">
        <f>D34</f>
        <v>1750567</v>
      </c>
      <c r="E54" s="11">
        <f>E34</f>
        <v>1508114</v>
      </c>
      <c r="F54" s="11">
        <f>F34</f>
        <v>1379449</v>
      </c>
      <c r="G54" s="11">
        <f>G34</f>
        <v>3839246</v>
      </c>
      <c r="H54" s="11">
        <f>H34</f>
        <v>3839236</v>
      </c>
      <c r="I54" s="11">
        <f>I34</f>
        <v>4568495</v>
      </c>
      <c r="J54" s="11">
        <f>J34</f>
        <v>4506383</v>
      </c>
      <c r="K54" s="11">
        <f>K34</f>
        <v>4204743</v>
      </c>
      <c r="L54" s="11">
        <f>L34</f>
        <v>4204743</v>
      </c>
      <c r="M54" s="11">
        <f>M34</f>
        <v>4204743</v>
      </c>
      <c r="N54" s="11">
        <f>N34</f>
        <v>4204743</v>
      </c>
      <c r="O54" s="11">
        <f>O34</f>
        <v>2204743</v>
      </c>
      <c r="P54" s="11">
        <f>P34</f>
        <v>2093633</v>
      </c>
      <c r="Q54" s="11">
        <f>Q34</f>
        <v>0</v>
      </c>
      <c r="R54" s="11">
        <f>R34</f>
        <v>0</v>
      </c>
      <c r="S54" s="49"/>
      <c r="T54" s="49"/>
      <c r="U54" s="49"/>
      <c r="V54" s="49"/>
      <c r="W54" s="49"/>
      <c r="X54" s="49"/>
    </row>
    <row r="55" spans="1:24" s="39" customFormat="1" ht="47.25" customHeight="1">
      <c r="A55" s="53"/>
      <c r="B55" s="35" t="s">
        <v>73</v>
      </c>
      <c r="C55" s="44">
        <f>C35</f>
        <v>0</v>
      </c>
      <c r="D55" s="44">
        <f>D35</f>
        <v>0</v>
      </c>
      <c r="E55" s="44">
        <f>E35</f>
        <v>0</v>
      </c>
      <c r="F55" s="44">
        <f>F35</f>
        <v>395449</v>
      </c>
      <c r="G55" s="44">
        <f>G35</f>
        <v>0</v>
      </c>
      <c r="H55" s="44">
        <f>H35</f>
        <v>0</v>
      </c>
      <c r="I55" s="44">
        <f>I35</f>
        <v>0</v>
      </c>
      <c r="J55" s="44">
        <f>J35</f>
        <v>0</v>
      </c>
      <c r="K55" s="44">
        <f>K35</f>
        <v>0</v>
      </c>
      <c r="L55" s="44">
        <f>L35</f>
        <v>0</v>
      </c>
      <c r="M55" s="44">
        <f>M35</f>
        <v>0</v>
      </c>
      <c r="N55" s="44">
        <f>N35</f>
        <v>0</v>
      </c>
      <c r="O55" s="44">
        <f>O35</f>
        <v>0</v>
      </c>
      <c r="P55" s="44">
        <f>P35</f>
        <v>0</v>
      </c>
      <c r="Q55" s="44">
        <f>Q35</f>
        <v>0</v>
      </c>
      <c r="R55" s="44">
        <f>R35</f>
        <v>0</v>
      </c>
      <c r="S55" s="38"/>
      <c r="T55" s="38"/>
      <c r="U55" s="38"/>
      <c r="V55" s="38"/>
      <c r="W55" s="38"/>
      <c r="X55" s="38"/>
    </row>
    <row r="56" spans="1:24" s="12" customFormat="1" ht="45.75" customHeight="1">
      <c r="A56" s="9" t="s">
        <v>96</v>
      </c>
      <c r="B56" s="10" t="s">
        <v>97</v>
      </c>
      <c r="C56" s="11">
        <f>C57+C58+C59+C60</f>
        <v>0</v>
      </c>
      <c r="D56" s="11">
        <f>D57+D58+D59+D60</f>
        <v>0</v>
      </c>
      <c r="E56" s="11">
        <f>E57+E58+E59+E60</f>
        <v>1508114</v>
      </c>
      <c r="F56" s="11">
        <f>F57+F58+F59+F60</f>
        <v>1379449</v>
      </c>
      <c r="G56" s="11">
        <f>G57+G58+G59+G60</f>
        <v>3839246</v>
      </c>
      <c r="H56" s="11">
        <f>H57+H58+H59+H60</f>
        <v>3839236</v>
      </c>
      <c r="I56" s="11">
        <f>I57+I58+I59+I60</f>
        <v>4568495</v>
      </c>
      <c r="J56" s="11">
        <f>J57+J58+J59+J60</f>
        <v>4506383</v>
      </c>
      <c r="K56" s="11">
        <f>K57+K58+K59+K60</f>
        <v>4204743</v>
      </c>
      <c r="L56" s="11">
        <f>L57+L58+L59+L60</f>
        <v>4204743</v>
      </c>
      <c r="M56" s="11">
        <f>M57+M58+M59+M60</f>
        <v>4204743</v>
      </c>
      <c r="N56" s="11">
        <f>N57+N58+N59+N60</f>
        <v>4204743</v>
      </c>
      <c r="O56" s="11">
        <f>O57+O58+O59+O60</f>
        <v>2204743</v>
      </c>
      <c r="P56" s="11">
        <f>P57+P58+P59+P60</f>
        <v>2093633</v>
      </c>
      <c r="Q56" s="11">
        <f>Q57+Q58+Q59+Q60</f>
        <v>0</v>
      </c>
      <c r="R56" s="11">
        <f>R57+R58+R59+R60</f>
        <v>0</v>
      </c>
      <c r="S56" s="49"/>
      <c r="T56" s="49"/>
      <c r="U56" s="49"/>
      <c r="V56" s="49"/>
      <c r="W56" s="49"/>
      <c r="X56" s="49"/>
    </row>
    <row r="57" spans="1:24" ht="42.75" customHeight="1">
      <c r="A57" s="7"/>
      <c r="B57" s="13" t="s">
        <v>98</v>
      </c>
      <c r="C57" s="15"/>
      <c r="D57" s="15"/>
      <c r="E57" s="15"/>
      <c r="F57" s="15"/>
      <c r="G57" s="15"/>
      <c r="H57" s="15"/>
      <c r="I57" s="15"/>
      <c r="J57" s="15"/>
      <c r="K57" s="50"/>
      <c r="L57" s="50"/>
      <c r="M57" s="50"/>
      <c r="N57" s="50"/>
      <c r="O57" s="50"/>
      <c r="P57" s="50"/>
      <c r="Q57" s="50"/>
      <c r="R57" s="50"/>
      <c r="S57" s="34"/>
      <c r="T57" s="34"/>
      <c r="U57" s="34"/>
      <c r="V57" s="34"/>
      <c r="W57" s="34"/>
      <c r="X57" s="34"/>
    </row>
    <row r="58" spans="1:24" ht="21.75" customHeight="1">
      <c r="A58" s="7"/>
      <c r="B58" s="13" t="s">
        <v>99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34"/>
      <c r="T58" s="34"/>
      <c r="U58" s="34"/>
      <c r="V58" s="34"/>
      <c r="W58" s="34"/>
      <c r="X58" s="34"/>
    </row>
    <row r="59" spans="1:24" ht="21.75" customHeight="1">
      <c r="A59" s="7"/>
      <c r="B59" s="13" t="s">
        <v>100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34"/>
      <c r="T59" s="34"/>
      <c r="U59" s="34"/>
      <c r="V59" s="34"/>
      <c r="W59" s="34"/>
      <c r="X59" s="34"/>
    </row>
    <row r="60" spans="1:24" ht="34.5" customHeight="1">
      <c r="A60" s="7"/>
      <c r="B60" s="13" t="s">
        <v>101</v>
      </c>
      <c r="C60" s="15"/>
      <c r="D60" s="15"/>
      <c r="E60" s="15">
        <f>E54</f>
        <v>1508114</v>
      </c>
      <c r="F60" s="15">
        <f>F54</f>
        <v>1379449</v>
      </c>
      <c r="G60" s="15">
        <f>G54</f>
        <v>3839246</v>
      </c>
      <c r="H60" s="15">
        <f>H54</f>
        <v>3839236</v>
      </c>
      <c r="I60" s="15">
        <f>I54</f>
        <v>4568495</v>
      </c>
      <c r="J60" s="15">
        <f>J54</f>
        <v>4506383</v>
      </c>
      <c r="K60" s="15">
        <f>K54</f>
        <v>4204743</v>
      </c>
      <c r="L60" s="15">
        <f>L54</f>
        <v>4204743</v>
      </c>
      <c r="M60" s="15">
        <f>M54</f>
        <v>4204743</v>
      </c>
      <c r="N60" s="15">
        <f>N54</f>
        <v>4204743</v>
      </c>
      <c r="O60" s="15">
        <f>O54</f>
        <v>2204743</v>
      </c>
      <c r="P60" s="15">
        <f>P54</f>
        <v>2093633</v>
      </c>
      <c r="Q60" s="15">
        <f>Q54</f>
        <v>0</v>
      </c>
      <c r="R60" s="15">
        <f>R54</f>
        <v>0</v>
      </c>
      <c r="S60" s="34"/>
      <c r="T60" s="34"/>
      <c r="U60" s="34"/>
      <c r="V60" s="34"/>
      <c r="W60" s="34"/>
      <c r="X60" s="34"/>
    </row>
    <row r="61" spans="1:24" s="12" customFormat="1" ht="36" customHeight="1">
      <c r="A61" s="9" t="s">
        <v>102</v>
      </c>
      <c r="B61" s="10" t="s">
        <v>103</v>
      </c>
      <c r="C61" s="11" t="s">
        <v>104</v>
      </c>
      <c r="D61" s="11" t="s">
        <v>104</v>
      </c>
      <c r="E61" s="11" t="s">
        <v>104</v>
      </c>
      <c r="F61" s="11" t="s">
        <v>104</v>
      </c>
      <c r="G61" s="11" t="s">
        <v>104</v>
      </c>
      <c r="H61" s="11" t="s">
        <v>104</v>
      </c>
      <c r="I61" s="11" t="s">
        <v>104</v>
      </c>
      <c r="J61" s="11" t="s">
        <v>104</v>
      </c>
      <c r="K61" s="11" t="s">
        <v>104</v>
      </c>
      <c r="L61" s="11" t="s">
        <v>104</v>
      </c>
      <c r="M61" s="11" t="s">
        <v>104</v>
      </c>
      <c r="N61" s="11" t="s">
        <v>104</v>
      </c>
      <c r="O61" s="11" t="s">
        <v>104</v>
      </c>
      <c r="P61" s="11" t="s">
        <v>104</v>
      </c>
      <c r="Q61" s="11" t="s">
        <v>104</v>
      </c>
      <c r="R61" s="11" t="s">
        <v>104</v>
      </c>
      <c r="S61" s="49"/>
      <c r="T61" s="49"/>
      <c r="U61" s="49"/>
      <c r="V61" s="49"/>
      <c r="W61" s="49"/>
      <c r="X61" s="49"/>
    </row>
    <row r="62" spans="1:24" s="39" customFormat="1" ht="51" customHeight="1">
      <c r="A62" s="53"/>
      <c r="B62" s="35" t="s">
        <v>73</v>
      </c>
      <c r="C62" s="44" t="s">
        <v>104</v>
      </c>
      <c r="D62" s="44" t="s">
        <v>104</v>
      </c>
      <c r="E62" s="44" t="s">
        <v>104</v>
      </c>
      <c r="F62" s="11" t="s">
        <v>104</v>
      </c>
      <c r="G62" s="11" t="s">
        <v>104</v>
      </c>
      <c r="H62" s="11" t="s">
        <v>104</v>
      </c>
      <c r="I62" s="11" t="s">
        <v>104</v>
      </c>
      <c r="J62" s="11" t="s">
        <v>104</v>
      </c>
      <c r="K62" s="11" t="s">
        <v>104</v>
      </c>
      <c r="L62" s="11" t="s">
        <v>104</v>
      </c>
      <c r="M62" s="11" t="s">
        <v>104</v>
      </c>
      <c r="N62" s="11" t="s">
        <v>104</v>
      </c>
      <c r="O62" s="11" t="s">
        <v>104</v>
      </c>
      <c r="P62" s="11" t="s">
        <v>104</v>
      </c>
      <c r="Q62" s="11" t="s">
        <v>104</v>
      </c>
      <c r="R62" s="11" t="s">
        <v>104</v>
      </c>
      <c r="S62" s="38"/>
      <c r="T62" s="38"/>
      <c r="U62" s="38"/>
      <c r="V62" s="38"/>
      <c r="W62" s="38"/>
      <c r="X62" s="38"/>
    </row>
    <row r="63" spans="1:24" s="12" customFormat="1" ht="30.75" customHeight="1">
      <c r="A63" s="9" t="s">
        <v>105</v>
      </c>
      <c r="B63" s="10" t="s">
        <v>106</v>
      </c>
      <c r="C63" s="11" t="s">
        <v>104</v>
      </c>
      <c r="D63" s="11" t="s">
        <v>104</v>
      </c>
      <c r="E63" s="11" t="s">
        <v>104</v>
      </c>
      <c r="F63" s="11" t="s">
        <v>104</v>
      </c>
      <c r="G63" s="11" t="s">
        <v>104</v>
      </c>
      <c r="H63" s="11" t="s">
        <v>104</v>
      </c>
      <c r="I63" s="11" t="s">
        <v>104</v>
      </c>
      <c r="J63" s="11" t="s">
        <v>104</v>
      </c>
      <c r="K63" s="11" t="s">
        <v>104</v>
      </c>
      <c r="L63" s="11" t="s">
        <v>104</v>
      </c>
      <c r="M63" s="11" t="s">
        <v>104</v>
      </c>
      <c r="N63" s="11" t="s">
        <v>104</v>
      </c>
      <c r="O63" s="11" t="s">
        <v>104</v>
      </c>
      <c r="P63" s="11" t="s">
        <v>104</v>
      </c>
      <c r="Q63" s="11" t="s">
        <v>104</v>
      </c>
      <c r="R63" s="11" t="s">
        <v>104</v>
      </c>
      <c r="S63" s="49"/>
      <c r="T63" s="49"/>
      <c r="U63" s="49"/>
      <c r="V63" s="49"/>
      <c r="W63" s="49"/>
      <c r="X63" s="49"/>
    </row>
    <row r="64" spans="1:24" s="39" customFormat="1" ht="48" customHeight="1">
      <c r="A64" s="53"/>
      <c r="B64" s="35" t="s">
        <v>73</v>
      </c>
      <c r="C64" s="44" t="s">
        <v>104</v>
      </c>
      <c r="D64" s="44" t="s">
        <v>104</v>
      </c>
      <c r="E64" s="44" t="s">
        <v>104</v>
      </c>
      <c r="F64" s="11" t="s">
        <v>104</v>
      </c>
      <c r="G64" s="11" t="s">
        <v>104</v>
      </c>
      <c r="H64" s="11" t="s">
        <v>104</v>
      </c>
      <c r="I64" s="11" t="s">
        <v>104</v>
      </c>
      <c r="J64" s="11" t="s">
        <v>104</v>
      </c>
      <c r="K64" s="11" t="s">
        <v>104</v>
      </c>
      <c r="L64" s="11" t="s">
        <v>104</v>
      </c>
      <c r="M64" s="11" t="s">
        <v>104</v>
      </c>
      <c r="N64" s="11" t="s">
        <v>104</v>
      </c>
      <c r="O64" s="11" t="s">
        <v>104</v>
      </c>
      <c r="P64" s="11" t="s">
        <v>104</v>
      </c>
      <c r="Q64" s="11" t="s">
        <v>104</v>
      </c>
      <c r="R64" s="11" t="s">
        <v>104</v>
      </c>
      <c r="S64" s="38"/>
      <c r="T64" s="38"/>
      <c r="U64" s="38"/>
      <c r="V64" s="38"/>
      <c r="W64" s="38"/>
      <c r="X64" s="38"/>
    </row>
    <row r="65" spans="1:24" s="12" customFormat="1" ht="26.25" customHeight="1">
      <c r="A65" s="9" t="s">
        <v>107</v>
      </c>
      <c r="B65" s="10" t="s">
        <v>108</v>
      </c>
      <c r="C65" s="10"/>
      <c r="D65" s="10"/>
      <c r="E65" s="10"/>
      <c r="F65" s="10"/>
      <c r="G65" s="10"/>
      <c r="H65" s="10"/>
      <c r="I65" s="10"/>
      <c r="J65" s="10"/>
      <c r="K65" s="52"/>
      <c r="L65" s="52"/>
      <c r="M65" s="52"/>
      <c r="N65" s="52"/>
      <c r="O65" s="52"/>
      <c r="P65" s="52"/>
      <c r="Q65" s="52"/>
      <c r="R65" s="52"/>
      <c r="S65" s="49"/>
      <c r="T65" s="49"/>
      <c r="U65" s="49"/>
      <c r="V65" s="49"/>
      <c r="W65" s="49"/>
      <c r="X65" s="49"/>
    </row>
    <row r="66" spans="1:24" ht="37.5" customHeight="1">
      <c r="A66" s="7" t="s">
        <v>109</v>
      </c>
      <c r="B66" s="13" t="s">
        <v>110</v>
      </c>
      <c r="C66" s="57">
        <f>C26/C6</f>
        <v>0.043607876423916184</v>
      </c>
      <c r="D66" s="57">
        <f>D26/D6</f>
        <v>0.052143237760637694</v>
      </c>
      <c r="E66" s="57">
        <f>E26/E6</f>
        <v>0.050121143630258144</v>
      </c>
      <c r="F66" s="57">
        <f>F26/F6</f>
        <v>0.0700729572284535</v>
      </c>
      <c r="G66" s="57">
        <f>G26/G6</f>
        <v>0.11565667836863613</v>
      </c>
      <c r="H66" s="57">
        <f>H26/H6</f>
        <v>0.11264466540572618</v>
      </c>
      <c r="I66" s="18" t="s">
        <v>104</v>
      </c>
      <c r="J66" s="18" t="s">
        <v>104</v>
      </c>
      <c r="K66" s="11" t="s">
        <v>104</v>
      </c>
      <c r="L66" s="11" t="s">
        <v>104</v>
      </c>
      <c r="M66" s="11" t="s">
        <v>104</v>
      </c>
      <c r="N66" s="11" t="s">
        <v>104</v>
      </c>
      <c r="O66" s="11" t="s">
        <v>104</v>
      </c>
      <c r="P66" s="11" t="s">
        <v>104</v>
      </c>
      <c r="Q66" s="11" t="s">
        <v>104</v>
      </c>
      <c r="R66" s="11" t="s">
        <v>104</v>
      </c>
      <c r="S66" s="34"/>
      <c r="T66" s="34"/>
      <c r="U66" s="34"/>
      <c r="V66" s="34"/>
      <c r="W66" s="34"/>
      <c r="X66" s="34"/>
    </row>
    <row r="67" spans="1:24" s="33" customFormat="1" ht="54.75" customHeight="1">
      <c r="A67" s="7"/>
      <c r="B67" s="35" t="s">
        <v>111</v>
      </c>
      <c r="C67" s="58">
        <f>(C26-C29-C31-C33-C35)/C6</f>
        <v>0.043607876423916184</v>
      </c>
      <c r="D67" s="58">
        <f>(D26-D29-D31-D33-D35)/D6</f>
        <v>0.052143237760637694</v>
      </c>
      <c r="E67" s="58">
        <f>(E26-E29-E31-E33-E35)/E6</f>
        <v>0.050121143630258144</v>
      </c>
      <c r="F67" s="58">
        <f>(F26-F29-F31-F33-F35)/F6</f>
        <v>0.06168829647455133</v>
      </c>
      <c r="G67" s="58">
        <f>(G26-G29-G31-G33-G35)/G6</f>
        <v>0.11565667836863613</v>
      </c>
      <c r="H67" s="58">
        <f>(H26-H29-H31-H33-H35)/H6</f>
        <v>0.11264466540572618</v>
      </c>
      <c r="I67" s="44" t="s">
        <v>104</v>
      </c>
      <c r="J67" s="44" t="s">
        <v>104</v>
      </c>
      <c r="K67" s="59" t="s">
        <v>104</v>
      </c>
      <c r="L67" s="59" t="s">
        <v>104</v>
      </c>
      <c r="M67" s="59" t="s">
        <v>104</v>
      </c>
      <c r="N67" s="59" t="s">
        <v>104</v>
      </c>
      <c r="O67" s="59" t="s">
        <v>104</v>
      </c>
      <c r="P67" s="59" t="s">
        <v>104</v>
      </c>
      <c r="Q67" s="59" t="s">
        <v>104</v>
      </c>
      <c r="R67" s="59" t="s">
        <v>104</v>
      </c>
      <c r="S67" s="32"/>
      <c r="T67" s="32"/>
      <c r="U67" s="32"/>
      <c r="V67" s="32"/>
      <c r="W67" s="32"/>
      <c r="X67" s="32"/>
    </row>
    <row r="68" spans="1:24" ht="37.5" customHeight="1">
      <c r="A68" s="7" t="s">
        <v>112</v>
      </c>
      <c r="B68" s="13" t="s">
        <v>113</v>
      </c>
      <c r="C68" s="57">
        <f>C52/C6</f>
        <v>0.07641471109899568</v>
      </c>
      <c r="D68" s="57">
        <f>D52/D6</f>
        <v>0.2969044982699002</v>
      </c>
      <c r="E68" s="57">
        <f>E52/E6</f>
        <v>0.4501904179290887</v>
      </c>
      <c r="F68" s="57">
        <f>F52/F6</f>
        <v>0.5989904652098035</v>
      </c>
      <c r="G68" s="57">
        <f>G52/G6</f>
        <v>0.4826649289718839</v>
      </c>
      <c r="H68" s="57">
        <f>H52/H6</f>
        <v>0.5289362780699088</v>
      </c>
      <c r="I68" s="18" t="s">
        <v>104</v>
      </c>
      <c r="J68" s="18" t="s">
        <v>104</v>
      </c>
      <c r="K68" s="11" t="s">
        <v>104</v>
      </c>
      <c r="L68" s="11" t="s">
        <v>104</v>
      </c>
      <c r="M68" s="11" t="s">
        <v>104</v>
      </c>
      <c r="N68" s="11" t="s">
        <v>104</v>
      </c>
      <c r="O68" s="11" t="s">
        <v>104</v>
      </c>
      <c r="P68" s="11" t="s">
        <v>104</v>
      </c>
      <c r="Q68" s="11" t="s">
        <v>104</v>
      </c>
      <c r="R68" s="11" t="s">
        <v>104</v>
      </c>
      <c r="S68" s="34"/>
      <c r="T68" s="34"/>
      <c r="U68" s="34"/>
      <c r="V68" s="34"/>
      <c r="W68" s="34"/>
      <c r="X68" s="34"/>
    </row>
    <row r="69" spans="1:24" s="33" customFormat="1" ht="55.5" customHeight="1">
      <c r="A69" s="7"/>
      <c r="B69" s="35" t="s">
        <v>114</v>
      </c>
      <c r="C69" s="58">
        <f>(C52-C53)/C6</f>
        <v>0.07641471109899568</v>
      </c>
      <c r="D69" s="58">
        <f>(D52-D53)/D6</f>
        <v>0.2969044982699002</v>
      </c>
      <c r="E69" s="58">
        <f>(E52-E53)/E6</f>
        <v>0.4501904179290887</v>
      </c>
      <c r="F69" s="58">
        <f>(F52-F53)/F6</f>
        <v>0.5249581867392178</v>
      </c>
      <c r="G69" s="58">
        <f>(G52-G53)/G6</f>
        <v>0.4826649289718839</v>
      </c>
      <c r="H69" s="58">
        <f>(H52-H53)/H6</f>
        <v>0.5289362780699088</v>
      </c>
      <c r="I69" s="44" t="s">
        <v>104</v>
      </c>
      <c r="J69" s="44" t="s">
        <v>104</v>
      </c>
      <c r="K69" s="59" t="s">
        <v>104</v>
      </c>
      <c r="L69" s="59" t="s">
        <v>104</v>
      </c>
      <c r="M69" s="59" t="s">
        <v>104</v>
      </c>
      <c r="N69" s="59" t="s">
        <v>104</v>
      </c>
      <c r="O69" s="59" t="s">
        <v>104</v>
      </c>
      <c r="P69" s="59" t="s">
        <v>104</v>
      </c>
      <c r="Q69" s="59" t="s">
        <v>104</v>
      </c>
      <c r="R69" s="59" t="s">
        <v>104</v>
      </c>
      <c r="S69" s="32"/>
      <c r="T69" s="32"/>
      <c r="U69" s="32"/>
      <c r="V69" s="32"/>
      <c r="W69" s="32"/>
      <c r="X69" s="32"/>
    </row>
    <row r="70" spans="1:24" ht="37.5" customHeight="1">
      <c r="A70" s="7" t="s">
        <v>115</v>
      </c>
      <c r="B70" s="13" t="s">
        <v>116</v>
      </c>
      <c r="C70" s="57">
        <f>(C7+C9-C10-C27)/C6</f>
        <v>0.12102774161037053</v>
      </c>
      <c r="D70" s="57">
        <f>(D7+D9-D10-D27)/D6</f>
        <v>0.07243153112001804</v>
      </c>
      <c r="E70" s="57">
        <f>(E7+E9-E10-E27)/E6</f>
        <v>0.03150998670058205</v>
      </c>
      <c r="F70" s="57">
        <f>(F7+F9-F10-F27)/F6</f>
        <v>0.031484570860019025</v>
      </c>
      <c r="G70" s="57">
        <f>(G7+G9-G10-G27)/G6</f>
        <v>0.08675199453525387</v>
      </c>
      <c r="H70" s="57">
        <f>(H7+H9-H10-H27)/H6</f>
        <v>0.0988606304076758</v>
      </c>
      <c r="I70" s="57">
        <f>(I7+I9-I10-I27)/I6</f>
        <v>0.15109274733858727</v>
      </c>
      <c r="J70" s="57">
        <f>(J7+J9-J10-J27)/J6</f>
        <v>0.15472996620861823</v>
      </c>
      <c r="K70" s="57">
        <f>(K7+K9-K10-K27)/K6</f>
        <v>0.15296310655074255</v>
      </c>
      <c r="L70" s="57">
        <f>(L7+L9-L10-L27)/L6</f>
        <v>0.13048849127545367</v>
      </c>
      <c r="M70" s="57">
        <f>(M7+M9-M10-M27)/M6</f>
        <v>0.1459688389709471</v>
      </c>
      <c r="N70" s="57">
        <f>(N7+N9-N10-N27)/N6</f>
        <v>0.15916186581347314</v>
      </c>
      <c r="O70" s="57">
        <f>(O7+O9-O10-O27)/O6</f>
        <v>0.1515020829938786</v>
      </c>
      <c r="P70" s="57">
        <f>(P7+P9-P10-P27)/P6</f>
        <v>0.16404146107771295</v>
      </c>
      <c r="Q70" s="57">
        <f>(Q7+Q9-Q10-Q27)/Q6</f>
        <v>0.1763955281553823</v>
      </c>
      <c r="R70" s="57">
        <f>(R7+R9-R10-R27)/R6</f>
        <v>0.1885670228131845</v>
      </c>
      <c r="S70" s="34"/>
      <c r="T70" s="34"/>
      <c r="U70" s="34"/>
      <c r="V70" s="34"/>
      <c r="W70" s="34"/>
      <c r="X70" s="34"/>
    </row>
    <row r="71" spans="1:24" ht="51" customHeight="1">
      <c r="A71" s="7" t="s">
        <v>117</v>
      </c>
      <c r="B71" s="13" t="s">
        <v>118</v>
      </c>
      <c r="C71" s="57" t="s">
        <v>104</v>
      </c>
      <c r="D71" s="57" t="s">
        <v>104</v>
      </c>
      <c r="E71" s="57" t="s">
        <v>104</v>
      </c>
      <c r="F71" s="57">
        <f>(C70+D70+E70)/3</f>
        <v>0.07498975314365687</v>
      </c>
      <c r="G71" s="57">
        <f>(D70+E70+F70)/3</f>
        <v>0.045142029560206375</v>
      </c>
      <c r="H71" s="57">
        <f>(E70+F70+G70)/3</f>
        <v>0.04991551736528498</v>
      </c>
      <c r="I71" s="57">
        <f>(F70+G70+H70)/3</f>
        <v>0.07236573193431622</v>
      </c>
      <c r="J71" s="57">
        <f>(G70+H70+I70)/3</f>
        <v>0.112235124093839</v>
      </c>
      <c r="K71" s="57">
        <f>(H70+I70+J70)/3</f>
        <v>0.13489444798496045</v>
      </c>
      <c r="L71" s="57">
        <f>(I70+J70+K70)/3</f>
        <v>0.152928606699316</v>
      </c>
      <c r="M71" s="57">
        <f>(J70+K70+L70)/3</f>
        <v>0.14606052134493816</v>
      </c>
      <c r="N71" s="57">
        <f>(K70+L70+M70)/3</f>
        <v>0.14314014559904778</v>
      </c>
      <c r="O71" s="57">
        <f>(L70+M70+N70)/3</f>
        <v>0.14520639868662463</v>
      </c>
      <c r="P71" s="57">
        <f>(M70+N70+O70)/3</f>
        <v>0.15221092925943294</v>
      </c>
      <c r="Q71" s="57">
        <f>(N70+O70+P70)/3</f>
        <v>0.1582351366283549</v>
      </c>
      <c r="R71" s="57">
        <f>(O70+P70+Q70)/3</f>
        <v>0.16397969074232463</v>
      </c>
      <c r="S71" s="34"/>
      <c r="T71" s="34"/>
      <c r="U71" s="34"/>
      <c r="V71" s="34"/>
      <c r="W71" s="34"/>
      <c r="X71" s="34"/>
    </row>
    <row r="72" spans="1:24" ht="43.5" customHeight="1">
      <c r="A72" s="7" t="s">
        <v>119</v>
      </c>
      <c r="B72" s="13" t="s">
        <v>120</v>
      </c>
      <c r="C72" s="57" t="s">
        <v>104</v>
      </c>
      <c r="D72" s="57" t="s">
        <v>104</v>
      </c>
      <c r="E72" s="57" t="s">
        <v>104</v>
      </c>
      <c r="F72" s="57">
        <f>F26/F6</f>
        <v>0.0700729572284535</v>
      </c>
      <c r="G72" s="57">
        <f>G26/G6</f>
        <v>0.11565667836863613</v>
      </c>
      <c r="H72" s="57">
        <f>H26/H6</f>
        <v>0.11264466540572618</v>
      </c>
      <c r="I72" s="57">
        <f>I26/I6</f>
        <v>0.13088218408704222</v>
      </c>
      <c r="J72" s="57">
        <f>J26/J6</f>
        <v>0.12375742864289695</v>
      </c>
      <c r="K72" s="57">
        <f>K26/K6</f>
        <v>0.11365179048710518</v>
      </c>
      <c r="L72" s="57">
        <f>L26/L6</f>
        <v>0.10853346645974861</v>
      </c>
      <c r="M72" s="57">
        <f>M26/M6</f>
        <v>0.10558105995304104</v>
      </c>
      <c r="N72" s="57">
        <f>N26/N6</f>
        <v>0.1000406212187479</v>
      </c>
      <c r="O72" s="57">
        <f>O26/O6</f>
        <v>0.05660596178667482</v>
      </c>
      <c r="P72" s="57">
        <f>P26/P6</f>
        <v>0.051718867472994125</v>
      </c>
      <c r="Q72" s="57">
        <f>Q26/Q6</f>
        <v>0.007896129697927138</v>
      </c>
      <c r="R72" s="57">
        <f>R26/R6</f>
        <v>0.00806373242084114</v>
      </c>
      <c r="S72" s="34"/>
      <c r="T72" s="34"/>
      <c r="U72" s="34"/>
      <c r="V72" s="34"/>
      <c r="W72" s="34"/>
      <c r="X72" s="34"/>
    </row>
    <row r="73" spans="1:24" s="33" customFormat="1" ht="53.25" customHeight="1">
      <c r="A73" s="7"/>
      <c r="B73" s="35" t="s">
        <v>121</v>
      </c>
      <c r="C73" s="57" t="s">
        <v>104</v>
      </c>
      <c r="D73" s="57" t="s">
        <v>104</v>
      </c>
      <c r="E73" s="57" t="s">
        <v>104</v>
      </c>
      <c r="F73" s="58">
        <f>(F26-F29-F31-F33-F35)/F6</f>
        <v>0.06168829647455133</v>
      </c>
      <c r="G73" s="58">
        <f>(G26-G29-G31-G33-G35)/G6</f>
        <v>0.11565667836863613</v>
      </c>
      <c r="H73" s="58">
        <f>(H26-H29-H31-H33-H35)/H6</f>
        <v>0.11264466540572618</v>
      </c>
      <c r="I73" s="58">
        <f>(I26-I29-I31-I33-I35)/I6</f>
        <v>0.13088218408704222</v>
      </c>
      <c r="J73" s="58">
        <f>(J26-J29-J31-J33-J35)/J6</f>
        <v>0.12375742864289695</v>
      </c>
      <c r="K73" s="58">
        <f>(K26-K29-K31-K33-K35)/K6</f>
        <v>0.11365179048710518</v>
      </c>
      <c r="L73" s="58">
        <f>(L26-L29-L31-L33-L35)/L6</f>
        <v>0.10853346645974861</v>
      </c>
      <c r="M73" s="58">
        <f>(M26-M29-M31-M33-M35)/M6</f>
        <v>0.10558105995304104</v>
      </c>
      <c r="N73" s="58">
        <f>(N26-N29-N31-N33-N35)/N6</f>
        <v>0.1000406212187479</v>
      </c>
      <c r="O73" s="58">
        <f>(O26-O29-O31-O33-O35)/O6</f>
        <v>0.05660596178667482</v>
      </c>
      <c r="P73" s="58">
        <f>(P26-P29-P31-P33-P35)/P6</f>
        <v>0.051718867472994125</v>
      </c>
      <c r="Q73" s="58">
        <f>(Q26-Q29-Q31-Q33-Q35)/Q6</f>
        <v>0.007896129697927138</v>
      </c>
      <c r="R73" s="58">
        <f>(R26-R29-R31-R33-R35)/R6</f>
        <v>0.00806373242084114</v>
      </c>
      <c r="S73" s="32"/>
      <c r="T73" s="32"/>
      <c r="U73" s="32"/>
      <c r="V73" s="32"/>
      <c r="W73" s="32"/>
      <c r="X73" s="32"/>
    </row>
    <row r="74" spans="1:24" ht="34.5" customHeight="1">
      <c r="A74" s="6" t="s">
        <v>122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34"/>
      <c r="T74" s="34"/>
      <c r="U74" s="34"/>
      <c r="V74" s="34"/>
      <c r="W74" s="34"/>
      <c r="X74" s="34"/>
    </row>
    <row r="75" spans="1:24" s="1" customFormat="1" ht="24.75" customHeight="1">
      <c r="A75" s="7" t="s">
        <v>2</v>
      </c>
      <c r="B75" s="7" t="s">
        <v>3</v>
      </c>
      <c r="C75" s="7" t="s">
        <v>4</v>
      </c>
      <c r="D75" s="7"/>
      <c r="E75" s="7" t="s">
        <v>5</v>
      </c>
      <c r="F75" s="18" t="s">
        <v>6</v>
      </c>
      <c r="G75" s="18" t="s">
        <v>7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55"/>
      <c r="T75" s="55"/>
      <c r="U75" s="55"/>
      <c r="V75" s="55"/>
      <c r="W75" s="55"/>
      <c r="X75" s="55"/>
    </row>
    <row r="76" spans="1:24" s="1" customFormat="1" ht="30" customHeight="1">
      <c r="A76" s="7"/>
      <c r="B76" s="7"/>
      <c r="C76" s="7" t="s">
        <v>8</v>
      </c>
      <c r="D76" s="7" t="s">
        <v>9</v>
      </c>
      <c r="E76" s="7"/>
      <c r="F76" s="18"/>
      <c r="G76" s="18" t="s">
        <v>10</v>
      </c>
      <c r="H76" s="18" t="s">
        <v>11</v>
      </c>
      <c r="I76" s="18" t="s">
        <v>12</v>
      </c>
      <c r="J76" s="18" t="s">
        <v>13</v>
      </c>
      <c r="K76" s="18" t="s">
        <v>14</v>
      </c>
      <c r="L76" s="18" t="s">
        <v>15</v>
      </c>
      <c r="M76" s="18" t="s">
        <v>16</v>
      </c>
      <c r="N76" s="18" t="s">
        <v>17</v>
      </c>
      <c r="O76" s="18" t="s">
        <v>18</v>
      </c>
      <c r="P76" s="18" t="s">
        <v>19</v>
      </c>
      <c r="Q76" s="18" t="s">
        <v>20</v>
      </c>
      <c r="R76" s="18" t="s">
        <v>21</v>
      </c>
      <c r="S76" s="55"/>
      <c r="T76" s="55"/>
      <c r="U76" s="55"/>
      <c r="V76" s="55"/>
      <c r="W76" s="55"/>
      <c r="X76" s="55"/>
    </row>
    <row r="77" spans="1:24" s="1" customFormat="1" ht="15" customHeight="1">
      <c r="A77" s="7">
        <v>1</v>
      </c>
      <c r="B77" s="7">
        <v>2</v>
      </c>
      <c r="C77" s="7">
        <v>3</v>
      </c>
      <c r="D77" s="7">
        <v>4</v>
      </c>
      <c r="E77" s="7">
        <v>5</v>
      </c>
      <c r="F77" s="18">
        <v>6</v>
      </c>
      <c r="G77" s="18">
        <v>7</v>
      </c>
      <c r="H77" s="18">
        <v>8</v>
      </c>
      <c r="I77" s="18">
        <v>9</v>
      </c>
      <c r="J77" s="18">
        <v>10</v>
      </c>
      <c r="K77" s="18">
        <v>11</v>
      </c>
      <c r="L77" s="18">
        <v>12</v>
      </c>
      <c r="M77" s="18">
        <v>13</v>
      </c>
      <c r="N77" s="18">
        <v>14</v>
      </c>
      <c r="O77" s="18">
        <v>15</v>
      </c>
      <c r="P77" s="18">
        <v>16</v>
      </c>
      <c r="Q77" s="18">
        <v>17</v>
      </c>
      <c r="R77" s="18">
        <v>18</v>
      </c>
      <c r="S77" s="55"/>
      <c r="T77" s="55"/>
      <c r="U77" s="55"/>
      <c r="V77" s="55"/>
      <c r="W77" s="55"/>
      <c r="X77" s="55"/>
    </row>
    <row r="78" spans="1:24" s="33" customFormat="1" ht="21.75" customHeight="1">
      <c r="A78" s="6" t="s">
        <v>123</v>
      </c>
      <c r="B78" s="30" t="s">
        <v>23</v>
      </c>
      <c r="C78" s="31">
        <f>C6</f>
        <v>40781807</v>
      </c>
      <c r="D78" s="31">
        <f>D6</f>
        <v>41646128.88</v>
      </c>
      <c r="E78" s="31">
        <f>E6</f>
        <v>47457716</v>
      </c>
      <c r="F78" s="31">
        <f>F6</f>
        <v>47163387</v>
      </c>
      <c r="G78" s="31">
        <f>G6</f>
        <v>50575817</v>
      </c>
      <c r="H78" s="31">
        <f>H6</f>
        <v>50240470.595</v>
      </c>
      <c r="I78" s="31">
        <f>I6</f>
        <v>49468130.786189996</v>
      </c>
      <c r="J78" s="31">
        <f>J6</f>
        <v>49680993.435482845</v>
      </c>
      <c r="K78" s="31">
        <f>K6</f>
        <v>49577362.361390084</v>
      </c>
      <c r="L78" s="31">
        <f>L6</f>
        <v>50021022.79681093</v>
      </c>
      <c r="M78" s="31">
        <f>M6</f>
        <v>49171338.1387631</v>
      </c>
      <c r="N78" s="31">
        <f>N6</f>
        <v>49942852.60459454</v>
      </c>
      <c r="O78" s="31">
        <f>O6</f>
        <v>49491995.39366346</v>
      </c>
      <c r="P78" s="31">
        <f>P6</f>
        <v>50234375.32456841</v>
      </c>
      <c r="Q78" s="31">
        <f>Q6</f>
        <v>50987890.95443694</v>
      </c>
      <c r="R78" s="31">
        <f>R6</f>
        <v>51752709.318753496</v>
      </c>
      <c r="S78" s="32"/>
      <c r="T78" s="32"/>
      <c r="U78" s="32"/>
      <c r="V78" s="32"/>
      <c r="W78" s="32"/>
      <c r="X78" s="32"/>
    </row>
    <row r="79" spans="1:24" s="33" customFormat="1" ht="21.75" customHeight="1">
      <c r="A79" s="6" t="s">
        <v>124</v>
      </c>
      <c r="B79" s="30" t="s">
        <v>125</v>
      </c>
      <c r="C79" s="31">
        <f>C10+C27+C39</f>
        <v>40722984</v>
      </c>
      <c r="D79" s="31">
        <f>D10+D27+D39</f>
        <v>49843941</v>
      </c>
      <c r="E79" s="31">
        <f>E10+E27+E39</f>
        <v>57149532</v>
      </c>
      <c r="F79" s="31">
        <f>F10+F27+F39</f>
        <v>54246568</v>
      </c>
      <c r="G79" s="31">
        <f>G10+G27+G39</f>
        <v>46729893</v>
      </c>
      <c r="H79" s="31">
        <f>H10+H27+H39</f>
        <v>52409983</v>
      </c>
      <c r="I79" s="31">
        <f>I10+I27+I39</f>
        <v>48517855</v>
      </c>
      <c r="J79" s="31">
        <f>J10+J27+J39</f>
        <v>44993855</v>
      </c>
      <c r="K79" s="31">
        <f>K10+K27+K39</f>
        <v>44333855</v>
      </c>
      <c r="L79" s="31">
        <f>L10+L27+L39</f>
        <v>46993855</v>
      </c>
      <c r="M79" s="31">
        <f>M10+M27+M39</f>
        <v>44993855</v>
      </c>
      <c r="N79" s="31">
        <f>N10+N27+N39</f>
        <v>44853855</v>
      </c>
      <c r="O79" s="31">
        <f>O10+O27+O39</f>
        <v>48093855</v>
      </c>
      <c r="P79" s="31">
        <f>P10+P27+P39</f>
        <v>48193855</v>
      </c>
      <c r="Q79" s="31">
        <f>Q10+Q27+Q39</f>
        <v>48813855</v>
      </c>
      <c r="R79" s="31">
        <f>R10+R27+R39</f>
        <v>47449855</v>
      </c>
      <c r="S79" s="32"/>
      <c r="T79" s="32"/>
      <c r="U79" s="32"/>
      <c r="V79" s="32"/>
      <c r="W79" s="32"/>
      <c r="X79" s="32"/>
    </row>
    <row r="80" spans="1:24" s="33" customFormat="1" ht="39.75" customHeight="1">
      <c r="A80" s="6"/>
      <c r="B80" s="30" t="s">
        <v>126</v>
      </c>
      <c r="C80" s="31">
        <f>C13+C32+C40</f>
        <v>0</v>
      </c>
      <c r="D80" s="31">
        <f>D13+D32+D40</f>
        <v>0</v>
      </c>
      <c r="E80" s="31">
        <f>E13+E32+E40</f>
        <v>264812</v>
      </c>
      <c r="F80" s="31">
        <f>F13+F32+F40</f>
        <v>3307000</v>
      </c>
      <c r="G80" s="31">
        <f>G13+G32+G40</f>
        <v>6623429</v>
      </c>
      <c r="H80" s="31">
        <f>H13+H32+H40</f>
        <v>11359287</v>
      </c>
      <c r="I80" s="31">
        <f>I13+I32+I40</f>
        <v>6818570.828125</v>
      </c>
      <c r="J80" s="31">
        <f>J13+J32+J40</f>
        <v>2515535.098828125</v>
      </c>
      <c r="K80" s="31">
        <f>K13+K32+K40</f>
        <v>1893423.4762988281</v>
      </c>
      <c r="L80" s="31">
        <f>L13+L32+L40</f>
        <v>2292259.0632062987</v>
      </c>
      <c r="M80" s="31">
        <f>M13+M32+M40</f>
        <v>2032065.5397864562</v>
      </c>
      <c r="N80" s="31">
        <f>N13+N32+N40</f>
        <v>1672867.1782811177</v>
      </c>
      <c r="O80" s="31">
        <f>O13+O32+O40</f>
        <v>1714688.8577381459</v>
      </c>
      <c r="P80" s="31">
        <f>P13+P32+P40</f>
        <v>1757556.0791815994</v>
      </c>
      <c r="Q80" s="31">
        <f>Q13+Q32+Q40</f>
        <v>1801494.9811611394</v>
      </c>
      <c r="R80" s="31">
        <f>R13+R32+R40</f>
        <v>1846532.3556901678</v>
      </c>
      <c r="S80" s="32"/>
      <c r="T80" s="32"/>
      <c r="U80" s="32"/>
      <c r="V80" s="32"/>
      <c r="W80" s="32"/>
      <c r="X80" s="32"/>
    </row>
    <row r="81" spans="1:24" s="33" customFormat="1" ht="21.75" customHeight="1">
      <c r="A81" s="6" t="s">
        <v>127</v>
      </c>
      <c r="B81" s="30" t="s">
        <v>128</v>
      </c>
      <c r="C81" s="31">
        <f>C6-C79</f>
        <v>58823</v>
      </c>
      <c r="D81" s="31">
        <f>D6-D79</f>
        <v>-8197812.119999997</v>
      </c>
      <c r="E81" s="31">
        <f>E6-E79</f>
        <v>-9691816</v>
      </c>
      <c r="F81" s="31">
        <f>F6-F79</f>
        <v>-7083181</v>
      </c>
      <c r="G81" s="31">
        <f>G6-G79</f>
        <v>3845924</v>
      </c>
      <c r="H81" s="31">
        <f>H6-H79</f>
        <v>-2169512.405000001</v>
      </c>
      <c r="I81" s="31">
        <f>I6-I79</f>
        <v>950275.7861899957</v>
      </c>
      <c r="J81" s="31">
        <f>J6-J79</f>
        <v>4687138.435482845</v>
      </c>
      <c r="K81" s="31">
        <f>K6-K79</f>
        <v>5243507.361390084</v>
      </c>
      <c r="L81" s="31">
        <f>L6-L79</f>
        <v>3027167.7968109325</v>
      </c>
      <c r="M81" s="31">
        <f>M6-M79</f>
        <v>4177483.1387631</v>
      </c>
      <c r="N81" s="31">
        <f>N6-N79</f>
        <v>5088997.604594544</v>
      </c>
      <c r="O81" s="31">
        <f>O6-O79</f>
        <v>1398140.3936634585</v>
      </c>
      <c r="P81" s="31">
        <f>P6-P79</f>
        <v>2040520.3245684132</v>
      </c>
      <c r="Q81" s="31">
        <f>Q6-Q79</f>
        <v>2174035.954436943</v>
      </c>
      <c r="R81" s="31">
        <f>R6-R79</f>
        <v>4302854.318753496</v>
      </c>
      <c r="S81" s="32"/>
      <c r="T81" s="32"/>
      <c r="U81" s="32"/>
      <c r="V81" s="32"/>
      <c r="W81" s="32"/>
      <c r="X81" s="32"/>
    </row>
    <row r="82" spans="1:24" s="33" customFormat="1" ht="21.75" customHeight="1">
      <c r="A82" s="6" t="s">
        <v>129</v>
      </c>
      <c r="B82" s="30" t="s">
        <v>130</v>
      </c>
      <c r="C82" s="31">
        <f>C20+C45</f>
        <v>1295280</v>
      </c>
      <c r="D82" s="31">
        <f>D20+D45</f>
        <v>10830344</v>
      </c>
      <c r="E82" s="31">
        <f>E20+E45</f>
        <v>11393932.880000003</v>
      </c>
      <c r="F82" s="31">
        <f>F20+F45</f>
        <v>8462630</v>
      </c>
      <c r="G82" s="31">
        <f>G20+G45</f>
        <v>0</v>
      </c>
      <c r="H82" s="31">
        <f>H20+H45</f>
        <v>6008748.405000001</v>
      </c>
      <c r="I82" s="31">
        <f>I20+I45</f>
        <v>3618219.2138100043</v>
      </c>
      <c r="J82" s="31">
        <f>J20+J45</f>
        <v>0</v>
      </c>
      <c r="K82" s="31">
        <f>K20+K45</f>
        <v>180755.4354828447</v>
      </c>
      <c r="L82" s="31">
        <f>L20+L45</f>
        <v>1219519.7968729287</v>
      </c>
      <c r="M82" s="31">
        <f>M20+M45</f>
        <v>41944.593683861196</v>
      </c>
      <c r="N82" s="31">
        <f>N20+N45</f>
        <v>14684.732446961105</v>
      </c>
      <c r="O82" s="31">
        <f>O20+O45</f>
        <v>898939.3370415047</v>
      </c>
      <c r="P82" s="31">
        <f>P20+P45</f>
        <v>92336.7307049632</v>
      </c>
      <c r="Q82" s="31">
        <f>Q20+Q45</f>
        <v>39224.055273376405</v>
      </c>
      <c r="R82" s="31">
        <f>R20+R45</f>
        <v>2213260.0097103184</v>
      </c>
      <c r="S82" s="32"/>
      <c r="T82" s="32"/>
      <c r="U82" s="32"/>
      <c r="V82" s="32"/>
      <c r="W82" s="32"/>
      <c r="X82" s="32"/>
    </row>
    <row r="83" spans="1:24" s="33" customFormat="1" ht="21.75" customHeight="1">
      <c r="A83" s="6" t="s">
        <v>131</v>
      </c>
      <c r="B83" s="30" t="s">
        <v>132</v>
      </c>
      <c r="C83" s="31">
        <f>C34+C36</f>
        <v>1526687</v>
      </c>
      <c r="D83" s="31">
        <f>D34+D36</f>
        <v>1750567</v>
      </c>
      <c r="E83" s="31">
        <f>E34+E36</f>
        <v>1508114</v>
      </c>
      <c r="F83" s="31">
        <f>F34+F36</f>
        <v>1379449</v>
      </c>
      <c r="G83" s="31">
        <f>G34+G36</f>
        <v>3839246</v>
      </c>
      <c r="H83" s="31">
        <f>H34+H36</f>
        <v>3839236</v>
      </c>
      <c r="I83" s="31">
        <f>I34+I36</f>
        <v>4568495</v>
      </c>
      <c r="J83" s="31">
        <f>J34+J36</f>
        <v>4506383</v>
      </c>
      <c r="K83" s="31">
        <f>K34+K36</f>
        <v>4204743</v>
      </c>
      <c r="L83" s="31">
        <f>L34+L36</f>
        <v>4204743</v>
      </c>
      <c r="M83" s="31">
        <f>M34+M36</f>
        <v>4204743</v>
      </c>
      <c r="N83" s="31">
        <f>N34+N36</f>
        <v>4204743</v>
      </c>
      <c r="O83" s="31">
        <f>O34+O36</f>
        <v>2204743</v>
      </c>
      <c r="P83" s="31">
        <f>P34+P36</f>
        <v>2093633</v>
      </c>
      <c r="Q83" s="31">
        <f>Q34+Q36</f>
        <v>0</v>
      </c>
      <c r="R83" s="31">
        <f>R34+R36</f>
        <v>0</v>
      </c>
      <c r="S83" s="32"/>
      <c r="T83" s="32"/>
      <c r="U83" s="32"/>
      <c r="V83" s="32"/>
      <c r="W83" s="32"/>
      <c r="X83" s="32"/>
    </row>
    <row r="84" spans="1:24" s="33" customFormat="1" ht="50.25" customHeight="1">
      <c r="A84" s="46" t="s">
        <v>133</v>
      </c>
      <c r="B84" s="28" t="s">
        <v>134</v>
      </c>
      <c r="C84" s="47">
        <f>C78-C79+C82-C83</f>
        <v>-172584</v>
      </c>
      <c r="D84" s="47">
        <f>D78-D79+D82-D83</f>
        <v>881964.8800000027</v>
      </c>
      <c r="E84" s="47">
        <f>E6-E79+E82-E83</f>
        <v>194002.88000000268</v>
      </c>
      <c r="F84" s="47">
        <f>F6-F79+F82-F83</f>
        <v>0</v>
      </c>
      <c r="G84" s="47">
        <f>G6-G79+G82-G83</f>
        <v>6678</v>
      </c>
      <c r="H84" s="47">
        <f>H6-H79+H82-H83</f>
        <v>0</v>
      </c>
      <c r="I84" s="47">
        <f>I6-I79+I82-I83</f>
        <v>0</v>
      </c>
      <c r="J84" s="47">
        <f>J6-J79+J82-J83</f>
        <v>180755.4354828447</v>
      </c>
      <c r="K84" s="47">
        <f>K6-K79+K82-K83</f>
        <v>1219519.7968729287</v>
      </c>
      <c r="L84" s="47">
        <f>L6-L79+L82-L83</f>
        <v>41944.593683861196</v>
      </c>
      <c r="M84" s="47">
        <f>M6-M79+M82-M83</f>
        <v>14684.732446961105</v>
      </c>
      <c r="N84" s="47">
        <f>N6-N79+N82-N83</f>
        <v>898939.3370415047</v>
      </c>
      <c r="O84" s="47">
        <f>O6-O79+O82-O83</f>
        <v>92336.7307049632</v>
      </c>
      <c r="P84" s="47">
        <f>P6-P79+P82-P83</f>
        <v>39224.055273376405</v>
      </c>
      <c r="Q84" s="47">
        <f>Q6-Q79+Q82-Q83</f>
        <v>2213260.0097103193</v>
      </c>
      <c r="R84" s="47">
        <f>R6-R79+R82-R83</f>
        <v>6516114.328463814</v>
      </c>
      <c r="S84" s="32"/>
      <c r="T84" s="32"/>
      <c r="U84" s="32"/>
      <c r="V84" s="32"/>
      <c r="W84" s="32"/>
      <c r="X84" s="32"/>
    </row>
    <row r="85" spans="1:24" s="33" customFormat="1" ht="59.25" customHeight="1">
      <c r="A85" s="46"/>
      <c r="B85" s="28" t="s">
        <v>135</v>
      </c>
      <c r="C85" s="47">
        <f>C7-C10-C27+C21+C22</f>
        <v>3677433</v>
      </c>
      <c r="D85" s="47">
        <f>D7-D10-D27+D21+D22</f>
        <v>2310762.8800000027</v>
      </c>
      <c r="E85" s="47">
        <f>E7-E10-E27+E21+E22</f>
        <v>586856.8800000027</v>
      </c>
      <c r="F85" s="47">
        <f>F7-F10-F27+F21+F22</f>
        <v>405921.8800000027</v>
      </c>
      <c r="G85" s="47">
        <f>G7-G10-G27+G21+G22</f>
        <v>3262553</v>
      </c>
      <c r="H85" s="47">
        <f>H7-H10-H27+H22+H22</f>
        <v>3776410.594999999</v>
      </c>
      <c r="I85" s="47">
        <f>I7-I10-I27+I21+I22</f>
        <v>6186263.286189996</v>
      </c>
      <c r="J85" s="47">
        <f>J7-J10-J27+J21+J22</f>
        <v>6308965.060482845</v>
      </c>
      <c r="K85" s="47">
        <f>K7-K10-K27+K21+K22</f>
        <v>7214262.796872929</v>
      </c>
      <c r="L85" s="47">
        <f>L7-L10-L27+L21+L22</f>
        <v>7488437.593683861</v>
      </c>
      <c r="M85" s="47">
        <f>M7-M10-M27+M21+M22</f>
        <v>6957303.982446961</v>
      </c>
      <c r="N85" s="47">
        <f>N7-N10-N27+N21+N22</f>
        <v>7663682.337041505</v>
      </c>
      <c r="O85" s="47">
        <f>O7-O10-O27+O21+O22</f>
        <v>8092579.730704963</v>
      </c>
      <c r="P85" s="47">
        <f>P7-P10-P27+P21+P22</f>
        <v>8023789.555273376</v>
      </c>
      <c r="Q85" s="47">
        <f>Q7-Q10-Q27+Q21+Q22</f>
        <v>8719556.497210316</v>
      </c>
      <c r="R85" s="47">
        <f>R7-R10-R27+R21+R22</f>
        <v>11653705.263276316</v>
      </c>
      <c r="S85" s="32"/>
      <c r="T85" s="32"/>
      <c r="U85" s="32"/>
      <c r="V85" s="32"/>
      <c r="W85" s="32"/>
      <c r="X85" s="32"/>
    </row>
    <row r="86" spans="6:24" ht="21.75" customHeight="1">
      <c r="F86" s="55"/>
      <c r="G86" s="55"/>
      <c r="H86" s="55"/>
      <c r="I86" s="55"/>
      <c r="J86" s="55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6:24" ht="21.75" customHeight="1">
      <c r="F87" s="55"/>
      <c r="G87" s="55"/>
      <c r="H87" s="55"/>
      <c r="I87" s="55"/>
      <c r="J87" s="55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6:24" ht="21.75" customHeight="1">
      <c r="F88" s="55"/>
      <c r="G88" s="55"/>
      <c r="H88" s="55"/>
      <c r="I88" s="55"/>
      <c r="J88" s="55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6:24" ht="21.75" customHeight="1">
      <c r="F89" s="55"/>
      <c r="G89" s="55"/>
      <c r="H89" s="55"/>
      <c r="I89" s="55"/>
      <c r="J89" s="55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6:24" ht="21.75" customHeight="1">
      <c r="F90" s="55"/>
      <c r="G90" s="55"/>
      <c r="H90" s="55"/>
      <c r="I90" s="55"/>
      <c r="J90" s="55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6:24" ht="21.75" customHeight="1">
      <c r="F91" s="55"/>
      <c r="G91" s="55"/>
      <c r="H91" s="55"/>
      <c r="I91" s="55"/>
      <c r="J91" s="55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6:24" ht="21.75" customHeight="1">
      <c r="F92" s="55"/>
      <c r="G92" s="55"/>
      <c r="H92" s="55"/>
      <c r="I92" s="55"/>
      <c r="J92" s="55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6:24" ht="21.75" customHeight="1">
      <c r="F93" s="55"/>
      <c r="G93" s="55"/>
      <c r="H93" s="55"/>
      <c r="I93" s="55"/>
      <c r="J93" s="55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6:24" ht="21.75" customHeight="1">
      <c r="F94" s="55"/>
      <c r="G94" s="55"/>
      <c r="H94" s="55"/>
      <c r="I94" s="55"/>
      <c r="J94" s="55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6:24" ht="21.75" customHeight="1">
      <c r="F95" s="55"/>
      <c r="G95" s="55"/>
      <c r="H95" s="55"/>
      <c r="I95" s="55"/>
      <c r="J95" s="55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6:24" ht="21.75" customHeight="1">
      <c r="F96" s="55"/>
      <c r="G96" s="55"/>
      <c r="H96" s="55"/>
      <c r="I96" s="55"/>
      <c r="J96" s="55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6:24" ht="21.75" customHeight="1">
      <c r="F97" s="55"/>
      <c r="G97" s="55"/>
      <c r="H97" s="55"/>
      <c r="I97" s="55"/>
      <c r="J97" s="55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6:24" ht="21.75" customHeight="1">
      <c r="F98" s="55"/>
      <c r="G98" s="55"/>
      <c r="H98" s="55"/>
      <c r="I98" s="55"/>
      <c r="J98" s="55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6:24" ht="21.75" customHeight="1">
      <c r="F99" s="55"/>
      <c r="G99" s="55"/>
      <c r="H99" s="55"/>
      <c r="I99" s="55"/>
      <c r="J99" s="55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6:24" ht="21.75" customHeight="1">
      <c r="F100" s="55"/>
      <c r="G100" s="55"/>
      <c r="H100" s="55"/>
      <c r="I100" s="55"/>
      <c r="J100" s="55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6:24" ht="21.75" customHeight="1">
      <c r="F101" s="55"/>
      <c r="G101" s="55"/>
      <c r="H101" s="55"/>
      <c r="I101" s="55"/>
      <c r="J101" s="55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6:24" ht="21.75" customHeight="1">
      <c r="F102" s="55"/>
      <c r="G102" s="55"/>
      <c r="H102" s="55"/>
      <c r="I102" s="55"/>
      <c r="J102" s="55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6:24" ht="21.75" customHeight="1">
      <c r="F103" s="55"/>
      <c r="G103" s="55"/>
      <c r="H103" s="55"/>
      <c r="I103" s="55"/>
      <c r="J103" s="55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6:24" ht="21.75" customHeight="1">
      <c r="F104" s="55"/>
      <c r="G104" s="55"/>
      <c r="H104" s="55"/>
      <c r="I104" s="55"/>
      <c r="J104" s="55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6:24" ht="21.75" customHeight="1">
      <c r="F105" s="55"/>
      <c r="G105" s="55"/>
      <c r="H105" s="55"/>
      <c r="I105" s="55"/>
      <c r="J105" s="55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6:24" ht="21.75" customHeight="1">
      <c r="F106" s="55"/>
      <c r="G106" s="55"/>
      <c r="H106" s="55"/>
      <c r="I106" s="55"/>
      <c r="J106" s="55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6:24" ht="21.75" customHeight="1">
      <c r="F107" s="55"/>
      <c r="G107" s="55"/>
      <c r="H107" s="55"/>
      <c r="I107" s="55"/>
      <c r="J107" s="55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6:24" ht="21.75" customHeight="1">
      <c r="F108" s="55"/>
      <c r="G108" s="55"/>
      <c r="H108" s="55"/>
      <c r="I108" s="55"/>
      <c r="J108" s="55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6:24" ht="21.75" customHeight="1">
      <c r="F109" s="55"/>
      <c r="G109" s="55"/>
      <c r="H109" s="55"/>
      <c r="I109" s="55"/>
      <c r="J109" s="55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6:24" ht="21.75" customHeight="1">
      <c r="F110" s="55"/>
      <c r="G110" s="55"/>
      <c r="H110" s="55"/>
      <c r="I110" s="55"/>
      <c r="J110" s="55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6:24" ht="21.75" customHeight="1">
      <c r="F111" s="55"/>
      <c r="G111" s="55"/>
      <c r="H111" s="55"/>
      <c r="I111" s="55"/>
      <c r="J111" s="55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6:24" ht="21.75" customHeight="1">
      <c r="F112" s="55"/>
      <c r="G112" s="55"/>
      <c r="H112" s="55"/>
      <c r="I112" s="55"/>
      <c r="J112" s="55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6:24" ht="21.75" customHeight="1">
      <c r="F113" s="55"/>
      <c r="G113" s="55"/>
      <c r="H113" s="55"/>
      <c r="I113" s="55"/>
      <c r="J113" s="55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6:24" ht="21.75" customHeight="1">
      <c r="F114" s="55"/>
      <c r="G114" s="55"/>
      <c r="H114" s="55"/>
      <c r="I114" s="55"/>
      <c r="J114" s="55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6:24" ht="21.75" customHeight="1">
      <c r="F115" s="55"/>
      <c r="G115" s="55"/>
      <c r="H115" s="55"/>
      <c r="I115" s="55"/>
      <c r="J115" s="55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6:24" ht="21.75" customHeight="1">
      <c r="F116" s="55"/>
      <c r="G116" s="55"/>
      <c r="H116" s="55"/>
      <c r="I116" s="55"/>
      <c r="J116" s="55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6:24" ht="21.75" customHeight="1">
      <c r="F117" s="55"/>
      <c r="G117" s="55"/>
      <c r="H117" s="55"/>
      <c r="I117" s="55"/>
      <c r="J117" s="55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6:24" ht="21.75" customHeight="1">
      <c r="F118" s="55"/>
      <c r="G118" s="55"/>
      <c r="H118" s="55"/>
      <c r="I118" s="55"/>
      <c r="J118" s="55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6:24" ht="21.75" customHeight="1">
      <c r="F119" s="55"/>
      <c r="G119" s="55"/>
      <c r="H119" s="55"/>
      <c r="I119" s="55"/>
      <c r="J119" s="55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6:24" ht="21.75" customHeight="1">
      <c r="F120" s="55"/>
      <c r="G120" s="55"/>
      <c r="H120" s="55"/>
      <c r="I120" s="55"/>
      <c r="J120" s="55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6:24" ht="21.75" customHeight="1">
      <c r="F121" s="55"/>
      <c r="G121" s="55"/>
      <c r="H121" s="55"/>
      <c r="I121" s="55"/>
      <c r="J121" s="55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6:24" ht="21.75" customHeight="1">
      <c r="F122" s="55"/>
      <c r="G122" s="55"/>
      <c r="H122" s="55"/>
      <c r="I122" s="55"/>
      <c r="J122" s="55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6:24" ht="21.75" customHeight="1">
      <c r="F123" s="55"/>
      <c r="G123" s="55"/>
      <c r="H123" s="55"/>
      <c r="I123" s="55"/>
      <c r="J123" s="55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6:24" ht="21.75" customHeight="1">
      <c r="F124" s="55"/>
      <c r="G124" s="55"/>
      <c r="H124" s="55"/>
      <c r="I124" s="55"/>
      <c r="J124" s="55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6:24" ht="21.75" customHeight="1">
      <c r="F125" s="55"/>
      <c r="G125" s="55"/>
      <c r="H125" s="55"/>
      <c r="I125" s="55"/>
      <c r="J125" s="55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6:24" ht="21.75" customHeight="1">
      <c r="F126" s="55"/>
      <c r="G126" s="55"/>
      <c r="H126" s="55"/>
      <c r="I126" s="55"/>
      <c r="J126" s="55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6:24" ht="21.75" customHeight="1">
      <c r="F127" s="55"/>
      <c r="G127" s="55"/>
      <c r="H127" s="55"/>
      <c r="I127" s="55"/>
      <c r="J127" s="55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6:24" ht="21.75" customHeight="1">
      <c r="F128" s="55"/>
      <c r="G128" s="55"/>
      <c r="H128" s="55"/>
      <c r="I128" s="55"/>
      <c r="J128" s="55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6:24" ht="21.75" customHeight="1">
      <c r="F129" s="55"/>
      <c r="G129" s="55"/>
      <c r="H129" s="55"/>
      <c r="I129" s="55"/>
      <c r="J129" s="55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</sheetData>
  <mergeCells count="27">
    <mergeCell ref="A1:Q1"/>
    <mergeCell ref="A2:Q2"/>
    <mergeCell ref="A3:A4"/>
    <mergeCell ref="B3:B4"/>
    <mergeCell ref="C3:D3"/>
    <mergeCell ref="E3:E4"/>
    <mergeCell ref="F3:F4"/>
    <mergeCell ref="G3:Q3"/>
    <mergeCell ref="A14:A16"/>
    <mergeCell ref="A41:A43"/>
    <mergeCell ref="A48:R48"/>
    <mergeCell ref="A49:A50"/>
    <mergeCell ref="B49:B50"/>
    <mergeCell ref="C49:D49"/>
    <mergeCell ref="E49:E50"/>
    <mergeCell ref="F49:F50"/>
    <mergeCell ref="G49:J49"/>
    <mergeCell ref="A57:A60"/>
    <mergeCell ref="B65:J65"/>
    <mergeCell ref="A74:R74"/>
    <mergeCell ref="A75:A76"/>
    <mergeCell ref="B75:B76"/>
    <mergeCell ref="C75:D75"/>
    <mergeCell ref="E75:E76"/>
    <mergeCell ref="F75:F76"/>
    <mergeCell ref="G75:R75"/>
    <mergeCell ref="A84:A85"/>
  </mergeCells>
  <printOptions horizontalCentered="1"/>
  <pageMargins left="0.5902777777777778" right="0.5902777777777778" top="0.9534722222222223" bottom="0.875" header="0.5902777777777778" footer="0.5902777777777778"/>
  <pageSetup horizontalDpi="300" verticalDpi="300" orientation="landscape" paperSize="9" scale="44"/>
  <headerFooter alignWithMargins="0">
    <oddHeader>&amp;R&amp;"Times New Roman,Normalny"&amp;12Załącznik nr  1 do uchwały Nr ...../2010 z dnia .................w sprawie wieloletniej prognozy finansowej Gminy Barlinek</oddHeader>
    <oddFooter>&amp;C&amp;"Times New Roman,Normalny"&amp;12Strona &amp;P z &amp;N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7" zoomScaleSheetLayoutView="67" workbookViewId="0" topLeftCell="A1">
      <pane ySplit="4" topLeftCell="A5" activePane="bottomLeft" state="frozen"/>
      <selection pane="topLeft" activeCell="A1" sqref="A1"/>
      <selection pane="bottomLeft" activeCell="A1" activeCellId="1" sqref="G50:I50 A1"/>
    </sheetView>
  </sheetViews>
  <sheetFormatPr defaultColWidth="8.796875" defaultRowHeight="14.25"/>
  <cols>
    <col min="1" max="1" width="8.59765625" style="60" customWidth="1"/>
    <col min="2" max="2" width="5" style="60" customWidth="1"/>
    <col min="3" max="3" width="4.296875" style="60" customWidth="1"/>
    <col min="4" max="4" width="68.3984375" style="60" customWidth="1"/>
    <col min="5" max="5" width="19" style="27" customWidth="1"/>
    <col min="6" max="6" width="15.19921875" style="27" customWidth="1"/>
    <col min="7" max="7" width="17.3984375" style="27" customWidth="1"/>
    <col min="8" max="8" width="20.296875" style="61" customWidth="1"/>
    <col min="9" max="22" width="20.296875" style="62" customWidth="1"/>
    <col min="23" max="23" width="9" style="62" customWidth="1"/>
    <col min="24" max="16384" width="9" style="27" customWidth="1"/>
  </cols>
  <sheetData>
    <row r="1" spans="1:23" ht="76.5" customHeight="1">
      <c r="A1" s="63" t="s">
        <v>136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s="68" customFormat="1" ht="34.5" customHeight="1">
      <c r="A2" s="65" t="s">
        <v>2</v>
      </c>
      <c r="B2" s="66" t="s">
        <v>3</v>
      </c>
      <c r="C2" s="66"/>
      <c r="D2" s="66"/>
      <c r="E2" s="66" t="s">
        <v>137</v>
      </c>
      <c r="F2" s="66" t="s">
        <v>138</v>
      </c>
      <c r="G2" s="66"/>
      <c r="H2" s="66" t="s">
        <v>139</v>
      </c>
      <c r="I2" s="66" t="s">
        <v>140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 t="s">
        <v>141</v>
      </c>
      <c r="W2" s="67"/>
    </row>
    <row r="3" spans="1:23" s="68" customFormat="1" ht="24" customHeight="1">
      <c r="A3" s="65"/>
      <c r="B3" s="66"/>
      <c r="C3" s="66"/>
      <c r="D3" s="66"/>
      <c r="E3" s="66"/>
      <c r="F3" s="66" t="s">
        <v>142</v>
      </c>
      <c r="G3" s="66" t="s">
        <v>143</v>
      </c>
      <c r="H3" s="66"/>
      <c r="I3" s="66" t="s">
        <v>6</v>
      </c>
      <c r="J3" s="66" t="s">
        <v>10</v>
      </c>
      <c r="K3" s="66" t="s">
        <v>11</v>
      </c>
      <c r="L3" s="66" t="s">
        <v>12</v>
      </c>
      <c r="M3" s="66" t="s">
        <v>13</v>
      </c>
      <c r="N3" s="66" t="s">
        <v>14</v>
      </c>
      <c r="O3" s="66" t="s">
        <v>15</v>
      </c>
      <c r="P3" s="66" t="s">
        <v>16</v>
      </c>
      <c r="Q3" s="66" t="s">
        <v>17</v>
      </c>
      <c r="R3" s="66" t="s">
        <v>18</v>
      </c>
      <c r="S3" s="66" t="s">
        <v>19</v>
      </c>
      <c r="T3" s="66" t="s">
        <v>20</v>
      </c>
      <c r="U3" s="66" t="s">
        <v>21</v>
      </c>
      <c r="V3" s="66"/>
      <c r="W3" s="67"/>
    </row>
    <row r="4" spans="1:23" s="68" customFormat="1" ht="12" customHeight="1">
      <c r="A4" s="65">
        <v>1</v>
      </c>
      <c r="B4" s="65">
        <v>2</v>
      </c>
      <c r="C4" s="65"/>
      <c r="D4" s="65"/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65">
        <v>13</v>
      </c>
      <c r="P4" s="65">
        <v>14</v>
      </c>
      <c r="Q4" s="65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9"/>
    </row>
    <row r="5" spans="1:23" s="75" customFormat="1" ht="28.5" customHeight="1">
      <c r="A5" s="70" t="s">
        <v>22</v>
      </c>
      <c r="B5" s="71" t="s">
        <v>144</v>
      </c>
      <c r="C5" s="71"/>
      <c r="D5" s="71"/>
      <c r="E5" s="72" t="s">
        <v>104</v>
      </c>
      <c r="F5" s="72" t="s">
        <v>104</v>
      </c>
      <c r="G5" s="72" t="s">
        <v>104</v>
      </c>
      <c r="H5" s="73">
        <f>H6+H7</f>
        <v>45634709.45829688</v>
      </c>
      <c r="I5" s="73">
        <f>I6+I7</f>
        <v>3307000</v>
      </c>
      <c r="J5" s="73">
        <f>J6+J7</f>
        <v>6623429</v>
      </c>
      <c r="K5" s="73">
        <f>K6+K7</f>
        <v>11359287</v>
      </c>
      <c r="L5" s="73">
        <f>L6+L7</f>
        <v>6818570.828125</v>
      </c>
      <c r="M5" s="73">
        <f>M6+M7</f>
        <v>2515535.098828125</v>
      </c>
      <c r="N5" s="73">
        <f>N6+N7</f>
        <v>1893423.4762988281</v>
      </c>
      <c r="O5" s="73">
        <f>O6+O7</f>
        <v>2292259.0632062987</v>
      </c>
      <c r="P5" s="73">
        <f>P6+P7</f>
        <v>2032065.5397864562</v>
      </c>
      <c r="Q5" s="73">
        <f>Q6+Q7</f>
        <v>1672867.1782811177</v>
      </c>
      <c r="R5" s="73">
        <f>R6+R7</f>
        <v>1714688.8577381459</v>
      </c>
      <c r="S5" s="73">
        <f>S6+S7</f>
        <v>1757556.0791815994</v>
      </c>
      <c r="T5" s="73">
        <f>T6+T7</f>
        <v>1801494.9811611394</v>
      </c>
      <c r="U5" s="73">
        <f>U6+U7</f>
        <v>1846532.3556901678</v>
      </c>
      <c r="V5" s="73">
        <f>V6+V7</f>
        <v>45634709.45829688</v>
      </c>
      <c r="W5" s="74"/>
    </row>
    <row r="6" spans="1:23" s="75" customFormat="1" ht="28.5" customHeight="1">
      <c r="A6" s="70" t="s">
        <v>24</v>
      </c>
      <c r="B6" s="71" t="s">
        <v>145</v>
      </c>
      <c r="C6" s="71"/>
      <c r="D6" s="71"/>
      <c r="E6" s="72" t="s">
        <v>104</v>
      </c>
      <c r="F6" s="72" t="s">
        <v>104</v>
      </c>
      <c r="G6" s="72" t="s">
        <v>104</v>
      </c>
      <c r="H6" s="73">
        <f>SUM(I6:U6)</f>
        <v>22376388.458296876</v>
      </c>
      <c r="I6" s="73">
        <f>I10+I29+I39+I43+I45</f>
        <v>1807000</v>
      </c>
      <c r="J6" s="73">
        <f>J10+J29+J39+J43+J45</f>
        <v>1931800</v>
      </c>
      <c r="K6" s="73">
        <f>K10+K29+K39+K43+K45</f>
        <v>2072595</v>
      </c>
      <c r="L6" s="73">
        <f>L10+L29+L39+L43+L45</f>
        <v>1478570.828125</v>
      </c>
      <c r="M6" s="73">
        <f>M10+M29+M39+M43+M45</f>
        <v>1515535.098828125</v>
      </c>
      <c r="N6" s="73">
        <f>N10+N29+N39+N43+N45</f>
        <v>1553423.4762988281</v>
      </c>
      <c r="O6" s="73">
        <f>O10+O29+O39+O43+O45</f>
        <v>1592259.0632062987</v>
      </c>
      <c r="P6" s="73">
        <f>P10+P29+P39+P43+P45</f>
        <v>1632065.5397864562</v>
      </c>
      <c r="Q6" s="73">
        <f>Q10+Q29+Q39+Q43+Q45</f>
        <v>1672867.1782811177</v>
      </c>
      <c r="R6" s="73">
        <f>R10+R29+R39+R43+R45</f>
        <v>1714688.8577381459</v>
      </c>
      <c r="S6" s="73">
        <f>S10+S29+S39+S43+S45</f>
        <v>1757556.0791815994</v>
      </c>
      <c r="T6" s="73">
        <f>T10+T29+T39+T43+T45</f>
        <v>1801494.9811611394</v>
      </c>
      <c r="U6" s="73">
        <f>U10+U29+U39+U43+U45</f>
        <v>1846532.3556901678</v>
      </c>
      <c r="V6" s="73">
        <f>V10+V29+V39+V43+V45</f>
        <v>22376388.458296876</v>
      </c>
      <c r="W6" s="74"/>
    </row>
    <row r="7" spans="1:23" s="75" customFormat="1" ht="28.5" customHeight="1">
      <c r="A7" s="70" t="s">
        <v>26</v>
      </c>
      <c r="B7" s="71" t="s">
        <v>146</v>
      </c>
      <c r="C7" s="71"/>
      <c r="D7" s="71"/>
      <c r="E7" s="72" t="s">
        <v>104</v>
      </c>
      <c r="F7" s="72" t="s">
        <v>104</v>
      </c>
      <c r="G7" s="72" t="s">
        <v>104</v>
      </c>
      <c r="H7" s="73">
        <f>SUM(I7:U7)</f>
        <v>23258321</v>
      </c>
      <c r="I7" s="73">
        <f>I11+I30+I40+I44</f>
        <v>1500000</v>
      </c>
      <c r="J7" s="73">
        <f>J11+J30+J40+J44</f>
        <v>4691629</v>
      </c>
      <c r="K7" s="73">
        <f>K11+K30+K40+K44</f>
        <v>9286692</v>
      </c>
      <c r="L7" s="73">
        <f>L11+L30+L40+L44</f>
        <v>5340000</v>
      </c>
      <c r="M7" s="73">
        <f>M11+M30+M40+M44</f>
        <v>1000000</v>
      </c>
      <c r="N7" s="73">
        <f>N11+N30+N40+N44</f>
        <v>340000</v>
      </c>
      <c r="O7" s="73">
        <f>O11+O30+O40+O44</f>
        <v>700000</v>
      </c>
      <c r="P7" s="73">
        <f>P11+P30+P40+P44</f>
        <v>400000</v>
      </c>
      <c r="Q7" s="73">
        <f>Q11+Q30+Q40+Q44</f>
        <v>0</v>
      </c>
      <c r="R7" s="73">
        <f>R11+R30+R40+R44</f>
        <v>0</v>
      </c>
      <c r="S7" s="73">
        <f>S11+S30+S40+S44</f>
        <v>0</v>
      </c>
      <c r="T7" s="73">
        <f>T11+T30+T40+T44</f>
        <v>0</v>
      </c>
      <c r="U7" s="73">
        <f>U11+U30+U40+U44</f>
        <v>0</v>
      </c>
      <c r="V7" s="73">
        <f>V11+V30+V40+V44</f>
        <v>23258321</v>
      </c>
      <c r="W7" s="74"/>
    </row>
    <row r="8" spans="1:23" s="60" customFormat="1" ht="22.5" customHeight="1">
      <c r="A8" s="76"/>
      <c r="B8" s="76" t="s">
        <v>147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>
        <f>SUM(I8:U8)</f>
        <v>0</v>
      </c>
      <c r="W8" s="78"/>
    </row>
    <row r="9" spans="1:23" s="82" customFormat="1" ht="57.75" customHeight="1">
      <c r="A9" s="76"/>
      <c r="B9" s="79" t="s">
        <v>148</v>
      </c>
      <c r="C9" s="80" t="s">
        <v>149</v>
      </c>
      <c r="D9" s="80"/>
      <c r="E9" s="81" t="s">
        <v>150</v>
      </c>
      <c r="F9" s="72" t="s">
        <v>104</v>
      </c>
      <c r="G9" s="72" t="s">
        <v>104</v>
      </c>
      <c r="H9" s="73">
        <f>H10+H11</f>
        <v>14106882.875</v>
      </c>
      <c r="I9" s="73">
        <f>I10+I11</f>
        <v>1234000</v>
      </c>
      <c r="J9" s="73">
        <f>J10+J11</f>
        <v>5216104</v>
      </c>
      <c r="K9" s="73">
        <f>K10+K11</f>
        <v>7016778.875</v>
      </c>
      <c r="L9" s="73">
        <f>L10+L11</f>
        <v>640000</v>
      </c>
      <c r="M9" s="73">
        <f>M10+M11</f>
        <v>0</v>
      </c>
      <c r="N9" s="73">
        <f>N10+N11</f>
        <v>0</v>
      </c>
      <c r="O9" s="73">
        <f>O10+O11</f>
        <v>0</v>
      </c>
      <c r="P9" s="73">
        <f>P10+P11</f>
        <v>0</v>
      </c>
      <c r="Q9" s="73">
        <f>Q10+Q11</f>
        <v>0</v>
      </c>
      <c r="R9" s="73">
        <f>R10+R11</f>
        <v>0</v>
      </c>
      <c r="S9" s="73">
        <f>S10+S11</f>
        <v>0</v>
      </c>
      <c r="T9" s="73">
        <f>T10+T11</f>
        <v>0</v>
      </c>
      <c r="U9" s="73">
        <f>U10+U11</f>
        <v>0</v>
      </c>
      <c r="V9" s="77">
        <f>SUM(I9:U9)</f>
        <v>14106882.875</v>
      </c>
      <c r="W9" s="74"/>
    </row>
    <row r="10" spans="1:23" s="75" customFormat="1" ht="28.5" customHeight="1">
      <c r="A10" s="76"/>
      <c r="B10" s="79"/>
      <c r="C10" s="71" t="s">
        <v>145</v>
      </c>
      <c r="D10" s="71"/>
      <c r="E10" s="72" t="s">
        <v>104</v>
      </c>
      <c r="F10" s="72" t="s">
        <v>104</v>
      </c>
      <c r="G10" s="72" t="s">
        <v>104</v>
      </c>
      <c r="H10" s="73">
        <f>SUM(I10:U10)</f>
        <v>1588561.875</v>
      </c>
      <c r="I10" s="73">
        <f>I14+I17+I20+I23+I26</f>
        <v>434000</v>
      </c>
      <c r="J10" s="73">
        <f>J14+J17+J20+J23+J26</f>
        <v>524475</v>
      </c>
      <c r="K10" s="73">
        <f>K14+K17+K20+K23+K26</f>
        <v>630086.875</v>
      </c>
      <c r="L10" s="73">
        <f>L14+L17+L20+L23+L26</f>
        <v>0</v>
      </c>
      <c r="M10" s="73">
        <f>M14+M17+M20+M23+M26</f>
        <v>0</v>
      </c>
      <c r="N10" s="73">
        <f>N14+N17+N20+N23+N26</f>
        <v>0</v>
      </c>
      <c r="O10" s="73">
        <f>O14+O17+O20+O23+O26</f>
        <v>0</v>
      </c>
      <c r="P10" s="73">
        <f>P14+P17+P20+P23+P26</f>
        <v>0</v>
      </c>
      <c r="Q10" s="73">
        <f>Q14+Q17+Q20+Q23+Q26</f>
        <v>0</v>
      </c>
      <c r="R10" s="73">
        <f>R14+R17+R20+R23+R26</f>
        <v>0</v>
      </c>
      <c r="S10" s="73">
        <f>S14+S17+S20+S23+S26</f>
        <v>0</v>
      </c>
      <c r="T10" s="73">
        <f>T14+T17+T20+T23+T26</f>
        <v>0</v>
      </c>
      <c r="U10" s="73">
        <f>U14+U17+U20+U23+U26</f>
        <v>0</v>
      </c>
      <c r="V10" s="73">
        <f>SUM(I10:U10)</f>
        <v>1588561.875</v>
      </c>
      <c r="W10" s="74"/>
    </row>
    <row r="11" spans="1:23" s="75" customFormat="1" ht="28.5" customHeight="1">
      <c r="A11" s="76"/>
      <c r="B11" s="79"/>
      <c r="C11" s="71" t="s">
        <v>146</v>
      </c>
      <c r="D11" s="71"/>
      <c r="E11" s="73" t="s">
        <v>151</v>
      </c>
      <c r="F11" s="73" t="s">
        <v>151</v>
      </c>
      <c r="G11" s="73" t="s">
        <v>151</v>
      </c>
      <c r="H11" s="73">
        <f>SUM(I11:U11)</f>
        <v>12518321</v>
      </c>
      <c r="I11" s="73">
        <f>I15+I18+I21+I24+I27</f>
        <v>800000</v>
      </c>
      <c r="J11" s="73">
        <f>J15+J18+J21+J24+J27</f>
        <v>4691629</v>
      </c>
      <c r="K11" s="73">
        <f>K15+K18+K21+K24+K27</f>
        <v>6386692</v>
      </c>
      <c r="L11" s="73">
        <f>L15+L18+L21+L24+L27</f>
        <v>640000</v>
      </c>
      <c r="M11" s="73">
        <f>M15+M18+M21+M24+M27</f>
        <v>0</v>
      </c>
      <c r="N11" s="73">
        <f>N15+N18+N21+N24+N27</f>
        <v>0</v>
      </c>
      <c r="O11" s="73">
        <f>O15+O18+O21+O24+O27</f>
        <v>0</v>
      </c>
      <c r="P11" s="73">
        <f>P15+P18+P21+P24+P27</f>
        <v>0</v>
      </c>
      <c r="Q11" s="73">
        <f>Q15+Q18+Q21+Q24+Q27</f>
        <v>0</v>
      </c>
      <c r="R11" s="73">
        <f>R15+R18+R21+R24+R27</f>
        <v>0</v>
      </c>
      <c r="S11" s="73">
        <f>S15+S18+S21+S24+S27</f>
        <v>0</v>
      </c>
      <c r="T11" s="73">
        <f>T15+T18+T21+T24+T27</f>
        <v>0</v>
      </c>
      <c r="U11" s="73">
        <f>U15+U18+U21+U24+U27</f>
        <v>0</v>
      </c>
      <c r="V11" s="73">
        <f>SUM(I11:U11)</f>
        <v>12518321</v>
      </c>
      <c r="W11" s="74"/>
    </row>
    <row r="12" spans="1:23" s="60" customFormat="1" ht="22.5" customHeight="1">
      <c r="A12" s="76"/>
      <c r="B12" s="79"/>
      <c r="C12" s="76" t="s">
        <v>152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8"/>
    </row>
    <row r="13" spans="1:23" s="86" customFormat="1" ht="28.5" customHeight="1">
      <c r="A13" s="76"/>
      <c r="B13" s="79"/>
      <c r="C13" s="72" t="s">
        <v>153</v>
      </c>
      <c r="D13" s="83" t="s">
        <v>154</v>
      </c>
      <c r="E13" s="81"/>
      <c r="F13" s="81"/>
      <c r="G13" s="81"/>
      <c r="H13" s="84">
        <f>H14+H15</f>
        <v>673561.875</v>
      </c>
      <c r="I13" s="84">
        <f>I14+I15</f>
        <v>219000</v>
      </c>
      <c r="J13" s="84">
        <f>J14+J15</f>
        <v>224475</v>
      </c>
      <c r="K13" s="84">
        <f>K14+K15</f>
        <v>230086.875</v>
      </c>
      <c r="L13" s="84">
        <f>L14+L15</f>
        <v>0</v>
      </c>
      <c r="M13" s="84">
        <f>M14+M15</f>
        <v>0</v>
      </c>
      <c r="N13" s="84">
        <f>N14+N15</f>
        <v>0</v>
      </c>
      <c r="O13" s="84">
        <f>O14+O15</f>
        <v>0</v>
      </c>
      <c r="P13" s="84">
        <f>P14+P15</f>
        <v>0</v>
      </c>
      <c r="Q13" s="84">
        <f>Q14+Q15</f>
        <v>0</v>
      </c>
      <c r="R13" s="84">
        <f>R14+R15</f>
        <v>0</v>
      </c>
      <c r="S13" s="84">
        <f>S14+S15</f>
        <v>0</v>
      </c>
      <c r="T13" s="84">
        <f>T14+T15</f>
        <v>0</v>
      </c>
      <c r="U13" s="84">
        <f>U14+U15</f>
        <v>0</v>
      </c>
      <c r="V13" s="84">
        <f>V14+V15</f>
        <v>673561.875</v>
      </c>
      <c r="W13" s="85"/>
    </row>
    <row r="14" spans="1:23" s="86" customFormat="1" ht="28.5" customHeight="1">
      <c r="A14" s="76"/>
      <c r="B14" s="79"/>
      <c r="C14" s="87"/>
      <c r="D14" s="87" t="s">
        <v>145</v>
      </c>
      <c r="E14" s="88" t="s">
        <v>104</v>
      </c>
      <c r="F14" s="88" t="s">
        <v>104</v>
      </c>
      <c r="G14" s="88" t="s">
        <v>104</v>
      </c>
      <c r="H14" s="89">
        <f>SUM(I14:U14)</f>
        <v>673561.875</v>
      </c>
      <c r="I14" s="89">
        <f>'załcznika 2a'!I14</f>
        <v>219000</v>
      </c>
      <c r="J14" s="89">
        <f>'załcznika 2a'!J14</f>
        <v>224475</v>
      </c>
      <c r="K14" s="89">
        <f>'załcznika 2a'!K14</f>
        <v>230086.875</v>
      </c>
      <c r="L14" s="89">
        <f>'załcznika 2a'!L14</f>
        <v>0</v>
      </c>
      <c r="M14" s="89">
        <f>'załcznika 2a'!M14</f>
        <v>0</v>
      </c>
      <c r="N14" s="89">
        <f>'załcznika 2a'!N14</f>
        <v>0</v>
      </c>
      <c r="O14" s="89">
        <f>'załcznika 2a'!O14</f>
        <v>0</v>
      </c>
      <c r="P14" s="89">
        <f>'załcznika 2a'!P14</f>
        <v>0</v>
      </c>
      <c r="Q14" s="89">
        <f>'załcznika 2a'!Q14</f>
        <v>0</v>
      </c>
      <c r="R14" s="89">
        <f>'załcznika 2a'!R14</f>
        <v>0</v>
      </c>
      <c r="S14" s="89">
        <f>'załcznika 2a'!S14</f>
        <v>0</v>
      </c>
      <c r="T14" s="89">
        <f>'załcznika 2a'!T14</f>
        <v>0</v>
      </c>
      <c r="U14" s="89">
        <f>'załcznika 2a'!U14</f>
        <v>0</v>
      </c>
      <c r="V14" s="77">
        <f>SUM(I14:U14)</f>
        <v>673561.875</v>
      </c>
      <c r="W14" s="90"/>
    </row>
    <row r="15" spans="1:23" s="86" customFormat="1" ht="28.5" customHeight="1">
      <c r="A15" s="76"/>
      <c r="B15" s="79"/>
      <c r="C15" s="87"/>
      <c r="D15" s="87" t="s">
        <v>155</v>
      </c>
      <c r="E15" s="88" t="s">
        <v>104</v>
      </c>
      <c r="F15" s="88" t="s">
        <v>104</v>
      </c>
      <c r="G15" s="88" t="s">
        <v>104</v>
      </c>
      <c r="H15" s="89">
        <f>SUM(I15:U15)</f>
        <v>0</v>
      </c>
      <c r="I15" s="89">
        <f>'załcznika 2a'!I15</f>
        <v>0</v>
      </c>
      <c r="J15" s="89">
        <f>'załcznika 2a'!J15</f>
        <v>0</v>
      </c>
      <c r="K15" s="89">
        <f>'załcznika 2a'!K15</f>
        <v>0</v>
      </c>
      <c r="L15" s="89">
        <f>'załcznika 2a'!L15</f>
        <v>0</v>
      </c>
      <c r="M15" s="89">
        <f>'załcznika 2a'!M15</f>
        <v>0</v>
      </c>
      <c r="N15" s="89">
        <f>'załcznika 2a'!N15</f>
        <v>0</v>
      </c>
      <c r="O15" s="89">
        <f>'załcznika 2a'!O15</f>
        <v>0</v>
      </c>
      <c r="P15" s="89">
        <f>'załcznika 2a'!P15</f>
        <v>0</v>
      </c>
      <c r="Q15" s="89">
        <f>'załcznika 2a'!Q15</f>
        <v>0</v>
      </c>
      <c r="R15" s="89">
        <f>'załcznika 2a'!R15</f>
        <v>0</v>
      </c>
      <c r="S15" s="89">
        <f>'załcznika 2a'!S15</f>
        <v>0</v>
      </c>
      <c r="T15" s="89">
        <f>'załcznika 2a'!T15</f>
        <v>0</v>
      </c>
      <c r="U15" s="89">
        <f>'załcznika 2a'!U15</f>
        <v>0</v>
      </c>
      <c r="V15" s="77">
        <f>SUM(I15:U15)</f>
        <v>0</v>
      </c>
      <c r="W15" s="90"/>
    </row>
    <row r="16" spans="1:23" s="86" customFormat="1" ht="28.5" customHeight="1">
      <c r="A16" s="76"/>
      <c r="B16" s="79"/>
      <c r="C16" s="72" t="s">
        <v>156</v>
      </c>
      <c r="D16" s="83" t="s">
        <v>157</v>
      </c>
      <c r="E16" s="81"/>
      <c r="F16" s="81"/>
      <c r="G16" s="81"/>
      <c r="H16" s="84">
        <f>H17+H18</f>
        <v>5875000</v>
      </c>
      <c r="I16" s="84">
        <f>I17+I18</f>
        <v>215000</v>
      </c>
      <c r="J16" s="84">
        <f>J17+J18</f>
        <v>1480000</v>
      </c>
      <c r="K16" s="84">
        <f>K17+K18</f>
        <v>3540000</v>
      </c>
      <c r="L16" s="84">
        <f>L17+L18</f>
        <v>640000</v>
      </c>
      <c r="M16" s="84">
        <f>M17+M18</f>
        <v>0</v>
      </c>
      <c r="N16" s="84">
        <f>N17+N18</f>
        <v>0</v>
      </c>
      <c r="O16" s="84">
        <f>O17+O18</f>
        <v>0</v>
      </c>
      <c r="P16" s="84">
        <f>P17+P18</f>
        <v>0</v>
      </c>
      <c r="Q16" s="84">
        <f>Q17+Q18</f>
        <v>0</v>
      </c>
      <c r="R16" s="84">
        <f>R17+R18</f>
        <v>0</v>
      </c>
      <c r="S16" s="84">
        <f>S17+S18</f>
        <v>0</v>
      </c>
      <c r="T16" s="84">
        <f>T17+T18</f>
        <v>0</v>
      </c>
      <c r="U16" s="84">
        <f>U17+U18</f>
        <v>0</v>
      </c>
      <c r="V16" s="84">
        <f>V17+V18</f>
        <v>5875000</v>
      </c>
      <c r="W16" s="85"/>
    </row>
    <row r="17" spans="1:23" s="86" customFormat="1" ht="28.5" customHeight="1">
      <c r="A17" s="76"/>
      <c r="B17" s="79"/>
      <c r="C17" s="87"/>
      <c r="D17" s="91" t="s">
        <v>145</v>
      </c>
      <c r="E17" s="88" t="s">
        <v>104</v>
      </c>
      <c r="F17" s="88" t="s">
        <v>104</v>
      </c>
      <c r="G17" s="88" t="s">
        <v>104</v>
      </c>
      <c r="H17" s="89">
        <f>SUM(I17:U17)</f>
        <v>915000</v>
      </c>
      <c r="I17" s="89">
        <f>'załcznika 2a'!I17</f>
        <v>215000</v>
      </c>
      <c r="J17" s="89">
        <f>'załcznika 2a'!J17</f>
        <v>300000</v>
      </c>
      <c r="K17" s="89">
        <f>'załcznika 2a'!K17</f>
        <v>400000</v>
      </c>
      <c r="L17" s="89">
        <f>'załcznika 2a'!L17</f>
        <v>0</v>
      </c>
      <c r="M17" s="89">
        <f>'załcznika 2a'!M17</f>
        <v>0</v>
      </c>
      <c r="N17" s="89">
        <f>'załcznika 2a'!N17</f>
        <v>0</v>
      </c>
      <c r="O17" s="89">
        <f>'załcznika 2a'!O17</f>
        <v>0</v>
      </c>
      <c r="P17" s="89">
        <f>'załcznika 2a'!P17</f>
        <v>0</v>
      </c>
      <c r="Q17" s="89">
        <f>'załcznika 2a'!Q17</f>
        <v>0</v>
      </c>
      <c r="R17" s="89">
        <f>'załcznika 2a'!R17</f>
        <v>0</v>
      </c>
      <c r="S17" s="89">
        <f>'załcznika 2a'!S17</f>
        <v>0</v>
      </c>
      <c r="T17" s="89">
        <f>'załcznika 2a'!T17</f>
        <v>0</v>
      </c>
      <c r="U17" s="89">
        <f>'załcznika 2a'!U17</f>
        <v>0</v>
      </c>
      <c r="V17" s="77">
        <f>SUM(I17:U17)</f>
        <v>915000</v>
      </c>
      <c r="W17" s="90"/>
    </row>
    <row r="18" spans="1:23" s="86" customFormat="1" ht="28.5" customHeight="1">
      <c r="A18" s="76"/>
      <c r="B18" s="79"/>
      <c r="C18" s="87"/>
      <c r="D18" s="87" t="s">
        <v>155</v>
      </c>
      <c r="E18" s="88" t="s">
        <v>104</v>
      </c>
      <c r="F18" s="88" t="s">
        <v>104</v>
      </c>
      <c r="G18" s="88" t="s">
        <v>104</v>
      </c>
      <c r="H18" s="89">
        <f>SUM(I18:U18)</f>
        <v>4960000</v>
      </c>
      <c r="I18" s="89">
        <f>'załcznika 2a'!I18</f>
        <v>0</v>
      </c>
      <c r="J18" s="89">
        <f>'załcznika 2a'!J18</f>
        <v>1180000</v>
      </c>
      <c r="K18" s="89">
        <f>'załcznika 2a'!K18</f>
        <v>3140000</v>
      </c>
      <c r="L18" s="89">
        <f>'załcznika 2a'!L18</f>
        <v>640000</v>
      </c>
      <c r="M18" s="89">
        <f>'załcznika 2a'!M18</f>
        <v>0</v>
      </c>
      <c r="N18" s="89">
        <f>'załcznika 2a'!N18</f>
        <v>0</v>
      </c>
      <c r="O18" s="89">
        <f>'załcznika 2a'!O18</f>
        <v>0</v>
      </c>
      <c r="P18" s="89">
        <f>'załcznika 2a'!P18</f>
        <v>0</v>
      </c>
      <c r="Q18" s="89">
        <f>'załcznika 2a'!Q18</f>
        <v>0</v>
      </c>
      <c r="R18" s="89">
        <f>'załcznika 2a'!R18</f>
        <v>0</v>
      </c>
      <c r="S18" s="89">
        <f>'załcznika 2a'!S18</f>
        <v>0</v>
      </c>
      <c r="T18" s="89">
        <f>'załcznika 2a'!T18</f>
        <v>0</v>
      </c>
      <c r="U18" s="89">
        <f>'załcznika 2a'!U18</f>
        <v>0</v>
      </c>
      <c r="V18" s="77">
        <f>SUM(I18:U18)</f>
        <v>4960000</v>
      </c>
      <c r="W18" s="90"/>
    </row>
    <row r="19" spans="1:23" s="86" customFormat="1" ht="39.75">
      <c r="A19" s="76"/>
      <c r="B19" s="79"/>
      <c r="C19" s="72" t="s">
        <v>158</v>
      </c>
      <c r="D19" s="83" t="s">
        <v>159</v>
      </c>
      <c r="E19" s="81"/>
      <c r="F19" s="81"/>
      <c r="G19" s="81"/>
      <c r="H19" s="84">
        <f>H20+H21</f>
        <v>2092331</v>
      </c>
      <c r="I19" s="84">
        <f>I20+I21</f>
        <v>0</v>
      </c>
      <c r="J19" s="84">
        <f>J20+J21</f>
        <v>1311629</v>
      </c>
      <c r="K19" s="84">
        <f>K20+K21</f>
        <v>780702</v>
      </c>
      <c r="L19" s="84">
        <f>L20+L21</f>
        <v>0</v>
      </c>
      <c r="M19" s="84">
        <f>M20+M21</f>
        <v>0</v>
      </c>
      <c r="N19" s="84">
        <f>N20+N21</f>
        <v>0</v>
      </c>
      <c r="O19" s="84">
        <f>O20+O21</f>
        <v>0</v>
      </c>
      <c r="P19" s="84">
        <f>P20+P21</f>
        <v>0</v>
      </c>
      <c r="Q19" s="84">
        <f>Q20+Q21</f>
        <v>0</v>
      </c>
      <c r="R19" s="84">
        <f>R20+R21</f>
        <v>0</v>
      </c>
      <c r="S19" s="84">
        <f>S20+S21</f>
        <v>0</v>
      </c>
      <c r="T19" s="84">
        <f>T20+T21</f>
        <v>0</v>
      </c>
      <c r="U19" s="84">
        <f>U20+U21</f>
        <v>0</v>
      </c>
      <c r="V19" s="84">
        <f>V20+V21</f>
        <v>2092331</v>
      </c>
      <c r="W19" s="85"/>
    </row>
    <row r="20" spans="1:23" s="86" customFormat="1" ht="28.5" customHeight="1">
      <c r="A20" s="76"/>
      <c r="B20" s="79"/>
      <c r="C20" s="87"/>
      <c r="D20" s="91" t="s">
        <v>145</v>
      </c>
      <c r="E20" s="88" t="s">
        <v>104</v>
      </c>
      <c r="F20" s="88" t="s">
        <v>104</v>
      </c>
      <c r="G20" s="88" t="s">
        <v>104</v>
      </c>
      <c r="H20" s="89">
        <f>SUM(I20:U20)</f>
        <v>0</v>
      </c>
      <c r="I20" s="84">
        <f>'załcznika 2a'!I44</f>
        <v>0</v>
      </c>
      <c r="J20" s="84">
        <f>'załcznika 2a'!J44</f>
        <v>0</v>
      </c>
      <c r="K20" s="84">
        <f>'załcznika 2a'!K44</f>
        <v>0</v>
      </c>
      <c r="L20" s="84">
        <f>'załcznika 2a'!L44</f>
        <v>0</v>
      </c>
      <c r="M20" s="84">
        <f>'załcznika 2a'!M44</f>
        <v>0</v>
      </c>
      <c r="N20" s="84">
        <f>'załcznika 2a'!N44</f>
        <v>0</v>
      </c>
      <c r="O20" s="84">
        <f>'załcznika 2a'!O44</f>
        <v>0</v>
      </c>
      <c r="P20" s="84">
        <f>'załcznika 2a'!P44</f>
        <v>0</v>
      </c>
      <c r="Q20" s="84">
        <f>'załcznika 2a'!Q44</f>
        <v>0</v>
      </c>
      <c r="R20" s="84">
        <f>'załcznika 2a'!R44</f>
        <v>0</v>
      </c>
      <c r="S20" s="84">
        <f>'załcznika 2a'!S44</f>
        <v>0</v>
      </c>
      <c r="T20" s="84">
        <f>'załcznika 2a'!T44</f>
        <v>0</v>
      </c>
      <c r="U20" s="84">
        <f>'załcznika 2a'!U44</f>
        <v>0</v>
      </c>
      <c r="V20" s="77">
        <f>SUM(I20:U20)</f>
        <v>0</v>
      </c>
      <c r="W20" s="85"/>
    </row>
    <row r="21" spans="1:23" s="86" customFormat="1" ht="28.5" customHeight="1">
      <c r="A21" s="76"/>
      <c r="B21" s="79"/>
      <c r="C21" s="87"/>
      <c r="D21" s="87" t="s">
        <v>155</v>
      </c>
      <c r="E21" s="88" t="s">
        <v>104</v>
      </c>
      <c r="F21" s="88" t="s">
        <v>104</v>
      </c>
      <c r="G21" s="88" t="s">
        <v>104</v>
      </c>
      <c r="H21" s="89">
        <f>SUM(I21:U21)</f>
        <v>2092331</v>
      </c>
      <c r="I21" s="84">
        <f>'załcznika 2a'!I45</f>
        <v>0</v>
      </c>
      <c r="J21" s="84">
        <f>'załcznika 2a'!J45</f>
        <v>1311629</v>
      </c>
      <c r="K21" s="84">
        <f>'załcznika 2a'!K45</f>
        <v>780702</v>
      </c>
      <c r="L21" s="84">
        <f>'załcznika 2a'!L45</f>
        <v>0</v>
      </c>
      <c r="M21" s="84">
        <f>'załcznika 2a'!M45</f>
        <v>0</v>
      </c>
      <c r="N21" s="84">
        <f>'załcznika 2a'!N45</f>
        <v>0</v>
      </c>
      <c r="O21" s="84">
        <f>'załcznika 2a'!O45</f>
        <v>0</v>
      </c>
      <c r="P21" s="84">
        <f>'załcznika 2a'!P45</f>
        <v>0</v>
      </c>
      <c r="Q21" s="84">
        <f>'załcznika 2a'!Q45</f>
        <v>0</v>
      </c>
      <c r="R21" s="84">
        <f>'załcznika 2a'!R45</f>
        <v>0</v>
      </c>
      <c r="S21" s="84">
        <f>'załcznika 2a'!S45</f>
        <v>0</v>
      </c>
      <c r="T21" s="84">
        <f>'załcznika 2a'!T45</f>
        <v>0</v>
      </c>
      <c r="U21" s="84">
        <f>'załcznika 2a'!U45</f>
        <v>0</v>
      </c>
      <c r="V21" s="77">
        <f>SUM(I21:U21)</f>
        <v>2092331</v>
      </c>
      <c r="W21" s="85"/>
    </row>
    <row r="22" spans="1:23" s="86" customFormat="1" ht="98.25">
      <c r="A22" s="76"/>
      <c r="B22" s="79"/>
      <c r="C22" s="79" t="s">
        <v>160</v>
      </c>
      <c r="D22" s="71" t="s">
        <v>161</v>
      </c>
      <c r="E22" s="81"/>
      <c r="F22" s="81"/>
      <c r="G22" s="81"/>
      <c r="H22" s="84">
        <f>H23+H24</f>
        <v>3365990</v>
      </c>
      <c r="I22" s="84">
        <f>I23+I24</f>
        <v>0</v>
      </c>
      <c r="J22" s="84">
        <f>J23+J24</f>
        <v>900000</v>
      </c>
      <c r="K22" s="84">
        <f>K23+K24</f>
        <v>2465990</v>
      </c>
      <c r="L22" s="84">
        <f>L23+L24</f>
        <v>0</v>
      </c>
      <c r="M22" s="84">
        <f>M23+M24</f>
        <v>0</v>
      </c>
      <c r="N22" s="84">
        <f>N23+N24</f>
        <v>0</v>
      </c>
      <c r="O22" s="84">
        <f>O23+O24</f>
        <v>0</v>
      </c>
      <c r="P22" s="84">
        <f>P23+P24</f>
        <v>0</v>
      </c>
      <c r="Q22" s="84">
        <f>Q23+Q24</f>
        <v>0</v>
      </c>
      <c r="R22" s="84">
        <f>R23+R24</f>
        <v>0</v>
      </c>
      <c r="S22" s="84">
        <f>S23+S24</f>
        <v>0</v>
      </c>
      <c r="T22" s="84">
        <f>T23+T24</f>
        <v>0</v>
      </c>
      <c r="U22" s="84">
        <f>U23+U24</f>
        <v>0</v>
      </c>
      <c r="V22" s="84">
        <f>V23+V24</f>
        <v>3365990</v>
      </c>
      <c r="W22" s="85"/>
    </row>
    <row r="23" spans="1:23" s="86" customFormat="1" ht="28.5" customHeight="1">
      <c r="A23" s="76"/>
      <c r="B23" s="79"/>
      <c r="C23" s="87"/>
      <c r="D23" s="91" t="s">
        <v>145</v>
      </c>
      <c r="E23" s="88" t="s">
        <v>104</v>
      </c>
      <c r="F23" s="88" t="s">
        <v>104</v>
      </c>
      <c r="G23" s="88" t="s">
        <v>104</v>
      </c>
      <c r="H23" s="89">
        <f>SUM(I23:U23)</f>
        <v>0</v>
      </c>
      <c r="I23" s="89">
        <f>'załcznika 2a'!I59</f>
        <v>0</v>
      </c>
      <c r="J23" s="89">
        <f>'załcznika 2a'!J59</f>
        <v>0</v>
      </c>
      <c r="K23" s="89">
        <f>'załcznika 2a'!K59</f>
        <v>0</v>
      </c>
      <c r="L23" s="89">
        <f>'załcznika 2a'!L59</f>
        <v>0</v>
      </c>
      <c r="M23" s="89">
        <f>'załcznika 2a'!M59</f>
        <v>0</v>
      </c>
      <c r="N23" s="89">
        <f>'załcznika 2a'!N59</f>
        <v>0</v>
      </c>
      <c r="O23" s="89">
        <f>'załcznika 2a'!O59</f>
        <v>0</v>
      </c>
      <c r="P23" s="89">
        <f>'załcznika 2a'!P59</f>
        <v>0</v>
      </c>
      <c r="Q23" s="89">
        <f>'załcznika 2a'!Q59</f>
        <v>0</v>
      </c>
      <c r="R23" s="89">
        <f>'załcznika 2a'!R59</f>
        <v>0</v>
      </c>
      <c r="S23" s="89">
        <f>'załcznika 2a'!S59</f>
        <v>0</v>
      </c>
      <c r="T23" s="89">
        <f>'załcznika 2a'!T59</f>
        <v>0</v>
      </c>
      <c r="U23" s="89">
        <f>'załcznika 2a'!U59</f>
        <v>0</v>
      </c>
      <c r="V23" s="77">
        <f>SUM(I23:U23)</f>
        <v>0</v>
      </c>
      <c r="W23" s="90"/>
    </row>
    <row r="24" spans="1:23" s="86" customFormat="1" ht="28.5" customHeight="1">
      <c r="A24" s="76"/>
      <c r="B24" s="79"/>
      <c r="C24" s="87"/>
      <c r="D24" s="87" t="s">
        <v>155</v>
      </c>
      <c r="E24" s="88" t="s">
        <v>104</v>
      </c>
      <c r="F24" s="88" t="s">
        <v>104</v>
      </c>
      <c r="G24" s="88" t="s">
        <v>104</v>
      </c>
      <c r="H24" s="89">
        <f>SUM(I24:U24)</f>
        <v>3365990</v>
      </c>
      <c r="I24" s="89">
        <f>'załcznika 2a'!I60</f>
        <v>0</v>
      </c>
      <c r="J24" s="89">
        <f>'załcznika 2a'!J60</f>
        <v>900000</v>
      </c>
      <c r="K24" s="89">
        <f>'załcznika 2a'!K60</f>
        <v>2465990</v>
      </c>
      <c r="L24" s="89">
        <f>'załcznika 2a'!L60</f>
        <v>0</v>
      </c>
      <c r="M24" s="89">
        <f>'załcznika 2a'!M60</f>
        <v>0</v>
      </c>
      <c r="N24" s="89">
        <f>'załcznika 2a'!N60</f>
        <v>0</v>
      </c>
      <c r="O24" s="89">
        <f>'załcznika 2a'!O60</f>
        <v>0</v>
      </c>
      <c r="P24" s="89">
        <f>'załcznika 2a'!P60</f>
        <v>0</v>
      </c>
      <c r="Q24" s="89">
        <f>'załcznika 2a'!Q60</f>
        <v>0</v>
      </c>
      <c r="R24" s="89">
        <f>'załcznika 2a'!R60</f>
        <v>0</v>
      </c>
      <c r="S24" s="89">
        <f>'załcznika 2a'!S60</f>
        <v>0</v>
      </c>
      <c r="T24" s="89">
        <f>'załcznika 2a'!T60</f>
        <v>0</v>
      </c>
      <c r="U24" s="89">
        <f>'załcznika 2a'!U60</f>
        <v>0</v>
      </c>
      <c r="V24" s="77">
        <f>SUM(I24:U24)</f>
        <v>3365990</v>
      </c>
      <c r="W24" s="90"/>
    </row>
    <row r="25" spans="1:23" s="60" customFormat="1" ht="98.25">
      <c r="A25" s="76"/>
      <c r="B25" s="79"/>
      <c r="C25" s="79" t="s">
        <v>162</v>
      </c>
      <c r="D25" s="92" t="s">
        <v>163</v>
      </c>
      <c r="E25" s="93"/>
      <c r="F25" s="93"/>
      <c r="G25" s="93"/>
      <c r="H25" s="84">
        <f>H26+H27</f>
        <v>2100000</v>
      </c>
      <c r="I25" s="84">
        <f>I26+I27</f>
        <v>800000</v>
      </c>
      <c r="J25" s="84">
        <f>J26+J27</f>
        <v>1300000</v>
      </c>
      <c r="K25" s="84">
        <f>K26+K27</f>
        <v>0</v>
      </c>
      <c r="L25" s="84">
        <f>L26+L27</f>
        <v>0</v>
      </c>
      <c r="M25" s="84">
        <f>M26+M27</f>
        <v>0</v>
      </c>
      <c r="N25" s="84">
        <f>N26+N27</f>
        <v>0</v>
      </c>
      <c r="O25" s="84">
        <f>O26+O27</f>
        <v>0</v>
      </c>
      <c r="P25" s="84">
        <f>P26+P27</f>
        <v>0</v>
      </c>
      <c r="Q25" s="84">
        <f>Q26+Q27</f>
        <v>0</v>
      </c>
      <c r="R25" s="84">
        <f>R26+R27</f>
        <v>0</v>
      </c>
      <c r="S25" s="84">
        <f>S26+S27</f>
        <v>0</v>
      </c>
      <c r="T25" s="84">
        <f>T26+T27</f>
        <v>0</v>
      </c>
      <c r="U25" s="84">
        <f>U26+U27</f>
        <v>0</v>
      </c>
      <c r="V25" s="84">
        <f>V26+V27</f>
        <v>2100000</v>
      </c>
      <c r="W25" s="85"/>
    </row>
    <row r="26" spans="1:23" s="86" customFormat="1" ht="28.5" customHeight="1">
      <c r="A26" s="76"/>
      <c r="B26" s="79"/>
      <c r="C26" s="87"/>
      <c r="D26" s="91" t="s">
        <v>145</v>
      </c>
      <c r="E26" s="88" t="s">
        <v>104</v>
      </c>
      <c r="F26" s="88" t="s">
        <v>104</v>
      </c>
      <c r="G26" s="88" t="s">
        <v>104</v>
      </c>
      <c r="H26" s="89">
        <f>SUM(I26:U26)</f>
        <v>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77">
        <f>SUM(I26:U26)</f>
        <v>0</v>
      </c>
      <c r="W26" s="90"/>
    </row>
    <row r="27" spans="1:23" s="86" customFormat="1" ht="28.5" customHeight="1">
      <c r="A27" s="76"/>
      <c r="B27" s="79"/>
      <c r="C27" s="87"/>
      <c r="D27" s="87" t="s">
        <v>155</v>
      </c>
      <c r="E27" s="88" t="s">
        <v>104</v>
      </c>
      <c r="F27" s="88" t="s">
        <v>104</v>
      </c>
      <c r="G27" s="88" t="s">
        <v>104</v>
      </c>
      <c r="H27" s="89">
        <f>SUM(I27:U27)</f>
        <v>2100000</v>
      </c>
      <c r="I27" s="89">
        <v>800000</v>
      </c>
      <c r="J27" s="89">
        <v>1300000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77">
        <f>SUM(I27:U27)</f>
        <v>2100000</v>
      </c>
      <c r="W27" s="90"/>
    </row>
    <row r="28" spans="1:23" s="82" customFormat="1" ht="57.75" customHeight="1">
      <c r="A28" s="76"/>
      <c r="B28" s="79" t="s">
        <v>164</v>
      </c>
      <c r="C28" s="80" t="s">
        <v>165</v>
      </c>
      <c r="D28" s="80"/>
      <c r="E28" s="72" t="s">
        <v>104</v>
      </c>
      <c r="F28" s="72" t="s">
        <v>104</v>
      </c>
      <c r="G28" s="72" t="s">
        <v>104</v>
      </c>
      <c r="H28" s="84">
        <f>H29+H30</f>
        <v>0</v>
      </c>
      <c r="I28" s="84">
        <f>I29+I30</f>
        <v>0</v>
      </c>
      <c r="J28" s="84">
        <f>J29+J30</f>
        <v>0</v>
      </c>
      <c r="K28" s="84">
        <f>K29+K30</f>
        <v>0</v>
      </c>
      <c r="L28" s="84">
        <f>L29+L30</f>
        <v>0</v>
      </c>
      <c r="M28" s="84">
        <f>M29+M30</f>
        <v>0</v>
      </c>
      <c r="N28" s="84">
        <f>N29+N30</f>
        <v>0</v>
      </c>
      <c r="O28" s="84">
        <f>O29+O30</f>
        <v>0</v>
      </c>
      <c r="P28" s="84">
        <f>P29+P30</f>
        <v>0</v>
      </c>
      <c r="Q28" s="84">
        <f>Q29+Q30</f>
        <v>0</v>
      </c>
      <c r="R28" s="84">
        <f>R29+R30</f>
        <v>0</v>
      </c>
      <c r="S28" s="84">
        <f>S29+S30</f>
        <v>0</v>
      </c>
      <c r="T28" s="84">
        <f>T29+T30</f>
        <v>0</v>
      </c>
      <c r="U28" s="84">
        <f>U29+U30</f>
        <v>0</v>
      </c>
      <c r="V28" s="84">
        <f>V29+V30</f>
        <v>0</v>
      </c>
      <c r="W28" s="85"/>
    </row>
    <row r="29" spans="1:23" s="75" customFormat="1" ht="28.5" customHeight="1">
      <c r="A29" s="76"/>
      <c r="B29" s="79"/>
      <c r="C29" s="71" t="s">
        <v>145</v>
      </c>
      <c r="D29" s="71"/>
      <c r="E29" s="72" t="s">
        <v>104</v>
      </c>
      <c r="F29" s="72" t="s">
        <v>104</v>
      </c>
      <c r="G29" s="72" t="s">
        <v>104</v>
      </c>
      <c r="H29" s="73">
        <f>H33+H36</f>
        <v>0</v>
      </c>
      <c r="I29" s="73">
        <f>I33+I36</f>
        <v>0</v>
      </c>
      <c r="J29" s="73">
        <f>J33+J36</f>
        <v>0</v>
      </c>
      <c r="K29" s="73">
        <f>K33+K36</f>
        <v>0</v>
      </c>
      <c r="L29" s="73">
        <f>L33+L36</f>
        <v>0</v>
      </c>
      <c r="M29" s="73">
        <f>M33+M36</f>
        <v>0</v>
      </c>
      <c r="N29" s="73">
        <f>N33+N36</f>
        <v>0</v>
      </c>
      <c r="O29" s="73">
        <f>O33+O36</f>
        <v>0</v>
      </c>
      <c r="P29" s="73">
        <f>P33+P36</f>
        <v>0</v>
      </c>
      <c r="Q29" s="73">
        <f>Q33+Q36</f>
        <v>0</v>
      </c>
      <c r="R29" s="73">
        <f>R33+R36</f>
        <v>0</v>
      </c>
      <c r="S29" s="73">
        <f>S33+S36</f>
        <v>0</v>
      </c>
      <c r="T29" s="73">
        <f>T33+T36</f>
        <v>0</v>
      </c>
      <c r="U29" s="73">
        <f>U33+U36</f>
        <v>0</v>
      </c>
      <c r="V29" s="89">
        <f>SUM(I29:M29)</f>
        <v>0</v>
      </c>
      <c r="W29" s="90"/>
    </row>
    <row r="30" spans="1:23" s="75" customFormat="1" ht="28.5" customHeight="1">
      <c r="A30" s="76"/>
      <c r="B30" s="79"/>
      <c r="C30" s="71" t="s">
        <v>146</v>
      </c>
      <c r="D30" s="71"/>
      <c r="E30" s="72" t="s">
        <v>104</v>
      </c>
      <c r="F30" s="72" t="s">
        <v>104</v>
      </c>
      <c r="G30" s="72" t="s">
        <v>104</v>
      </c>
      <c r="H30" s="73">
        <f>H34+H37</f>
        <v>0</v>
      </c>
      <c r="I30" s="73">
        <f>I34+I37</f>
        <v>0</v>
      </c>
      <c r="J30" s="73">
        <f>J34+J37</f>
        <v>0</v>
      </c>
      <c r="K30" s="73">
        <f>K34+K37</f>
        <v>0</v>
      </c>
      <c r="L30" s="73">
        <f>L34+L37</f>
        <v>0</v>
      </c>
      <c r="M30" s="73">
        <f>M34+M37</f>
        <v>0</v>
      </c>
      <c r="N30" s="73">
        <f>N34+N37</f>
        <v>0</v>
      </c>
      <c r="O30" s="73">
        <f>O34+O37</f>
        <v>0</v>
      </c>
      <c r="P30" s="73">
        <f>P34+P37</f>
        <v>0</v>
      </c>
      <c r="Q30" s="73">
        <f>Q34+Q37</f>
        <v>0</v>
      </c>
      <c r="R30" s="73">
        <f>R34+R37</f>
        <v>0</v>
      </c>
      <c r="S30" s="73">
        <f>S34+S37</f>
        <v>0</v>
      </c>
      <c r="T30" s="73">
        <f>T34+T37</f>
        <v>0</v>
      </c>
      <c r="U30" s="73">
        <f>U34+U37</f>
        <v>0</v>
      </c>
      <c r="V30" s="89">
        <f>SUM(I30:M30)</f>
        <v>0</v>
      </c>
      <c r="W30" s="90"/>
    </row>
    <row r="31" spans="1:23" s="60" customFormat="1" ht="22.5" customHeight="1">
      <c r="A31" s="76"/>
      <c r="B31" s="79"/>
      <c r="C31" s="76" t="s">
        <v>152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8"/>
    </row>
    <row r="32" spans="1:23" ht="39.75">
      <c r="A32" s="76"/>
      <c r="B32" s="79"/>
      <c r="C32" s="79" t="s">
        <v>153</v>
      </c>
      <c r="D32" s="92" t="s">
        <v>166</v>
      </c>
      <c r="E32" s="94"/>
      <c r="F32" s="94"/>
      <c r="G32" s="94"/>
      <c r="H32" s="84">
        <f>H33+H34</f>
        <v>0</v>
      </c>
      <c r="I32" s="84">
        <f>I33+I34</f>
        <v>0</v>
      </c>
      <c r="J32" s="84">
        <f>J33+J34</f>
        <v>0</v>
      </c>
      <c r="K32" s="84">
        <f>K33+K34</f>
        <v>0</v>
      </c>
      <c r="L32" s="84">
        <f>L33+L34</f>
        <v>0</v>
      </c>
      <c r="M32" s="84">
        <f>M33+M34</f>
        <v>0</v>
      </c>
      <c r="N32" s="84">
        <f>N33+N34</f>
        <v>0</v>
      </c>
      <c r="O32" s="84">
        <f>O33+O34</f>
        <v>0</v>
      </c>
      <c r="P32" s="84">
        <f>P33+P34</f>
        <v>0</v>
      </c>
      <c r="Q32" s="84">
        <f>Q33+Q34</f>
        <v>0</v>
      </c>
      <c r="R32" s="84">
        <f>R33+R34</f>
        <v>0</v>
      </c>
      <c r="S32" s="84">
        <f>S33+S34</f>
        <v>0</v>
      </c>
      <c r="T32" s="84">
        <f>T33+T34</f>
        <v>0</v>
      </c>
      <c r="U32" s="84">
        <f>U33+U34</f>
        <v>0</v>
      </c>
      <c r="V32" s="84">
        <f>V33+V34</f>
        <v>0</v>
      </c>
      <c r="W32" s="85"/>
    </row>
    <row r="33" spans="1:23" s="95" customFormat="1" ht="28.5" customHeight="1">
      <c r="A33" s="76"/>
      <c r="B33" s="79"/>
      <c r="C33" s="87"/>
      <c r="D33" s="91" t="s">
        <v>145</v>
      </c>
      <c r="E33" s="88" t="s">
        <v>104</v>
      </c>
      <c r="F33" s="88" t="s">
        <v>104</v>
      </c>
      <c r="G33" s="88" t="s">
        <v>104</v>
      </c>
      <c r="H33" s="89">
        <f>SUM(I33:M33)</f>
        <v>0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77">
        <f>SUM(I33:U33)</f>
        <v>0</v>
      </c>
      <c r="W33" s="90"/>
    </row>
    <row r="34" spans="1:23" s="95" customFormat="1" ht="28.5" customHeight="1">
      <c r="A34" s="76"/>
      <c r="B34" s="79"/>
      <c r="C34" s="87"/>
      <c r="D34" s="87" t="s">
        <v>155</v>
      </c>
      <c r="E34" s="88" t="s">
        <v>104</v>
      </c>
      <c r="F34" s="88" t="s">
        <v>104</v>
      </c>
      <c r="G34" s="88" t="s">
        <v>104</v>
      </c>
      <c r="H34" s="89">
        <f>SUM(I34:M34)</f>
        <v>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77">
        <f>SUM(I34:U34)</f>
        <v>0</v>
      </c>
      <c r="W34" s="90"/>
    </row>
    <row r="35" spans="1:23" ht="39.75">
      <c r="A35" s="76"/>
      <c r="B35" s="79"/>
      <c r="C35" s="79" t="s">
        <v>156</v>
      </c>
      <c r="D35" s="92" t="s">
        <v>166</v>
      </c>
      <c r="E35" s="94"/>
      <c r="F35" s="94"/>
      <c r="G35" s="94"/>
      <c r="H35" s="84">
        <f>H36+H37</f>
        <v>0</v>
      </c>
      <c r="I35" s="84">
        <f>I36+I37</f>
        <v>0</v>
      </c>
      <c r="J35" s="84">
        <f>J36+J37</f>
        <v>0</v>
      </c>
      <c r="K35" s="84">
        <f>K36+K37</f>
        <v>0</v>
      </c>
      <c r="L35" s="84">
        <f>L36+L37</f>
        <v>0</v>
      </c>
      <c r="M35" s="84">
        <f>M36+M37</f>
        <v>0</v>
      </c>
      <c r="N35" s="84">
        <f>N36+N37</f>
        <v>0</v>
      </c>
      <c r="O35" s="84">
        <f>O36+O37</f>
        <v>0</v>
      </c>
      <c r="P35" s="84">
        <f>P36+P37</f>
        <v>0</v>
      </c>
      <c r="Q35" s="84">
        <f>Q36+Q37</f>
        <v>0</v>
      </c>
      <c r="R35" s="84">
        <f>R36+R37</f>
        <v>0</v>
      </c>
      <c r="S35" s="84">
        <f>S36+S37</f>
        <v>0</v>
      </c>
      <c r="T35" s="84">
        <f>T36+T37</f>
        <v>0</v>
      </c>
      <c r="U35" s="84">
        <f>U36+U37</f>
        <v>0</v>
      </c>
      <c r="V35" s="84">
        <f>V36+V37</f>
        <v>0</v>
      </c>
      <c r="W35" s="85"/>
    </row>
    <row r="36" spans="1:23" s="95" customFormat="1" ht="28.5" customHeight="1">
      <c r="A36" s="76"/>
      <c r="B36" s="79"/>
      <c r="C36" s="87"/>
      <c r="D36" s="91" t="s">
        <v>145</v>
      </c>
      <c r="E36" s="88" t="s">
        <v>104</v>
      </c>
      <c r="F36" s="88" t="s">
        <v>104</v>
      </c>
      <c r="G36" s="88" t="s">
        <v>104</v>
      </c>
      <c r="H36" s="89">
        <f>SUM(I36:M36)</f>
        <v>0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77">
        <f>SUM(I36:U36)</f>
        <v>0</v>
      </c>
      <c r="W36" s="90"/>
    </row>
    <row r="37" spans="1:23" s="95" customFormat="1" ht="28.5" customHeight="1">
      <c r="A37" s="76"/>
      <c r="B37" s="79"/>
      <c r="C37" s="87"/>
      <c r="D37" s="87" t="s">
        <v>155</v>
      </c>
      <c r="E37" s="88" t="s">
        <v>104</v>
      </c>
      <c r="F37" s="88" t="s">
        <v>104</v>
      </c>
      <c r="G37" s="88" t="s">
        <v>104</v>
      </c>
      <c r="H37" s="89">
        <f>SUM(I37:M37)</f>
        <v>0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77">
        <f>SUM(I37:U37)</f>
        <v>0</v>
      </c>
      <c r="W37" s="90"/>
    </row>
    <row r="38" spans="1:23" s="82" customFormat="1" ht="39" customHeight="1">
      <c r="A38" s="76"/>
      <c r="B38" s="79" t="s">
        <v>167</v>
      </c>
      <c r="C38" s="80" t="s">
        <v>168</v>
      </c>
      <c r="D38" s="80"/>
      <c r="E38" s="81" t="s">
        <v>150</v>
      </c>
      <c r="F38" s="72" t="s">
        <v>104</v>
      </c>
      <c r="G38" s="72" t="s">
        <v>104</v>
      </c>
      <c r="H38" s="84">
        <f>H39+H40</f>
        <v>9300000</v>
      </c>
      <c r="I38" s="84">
        <f>I39+I40</f>
        <v>700000</v>
      </c>
      <c r="J38" s="84">
        <f>J39+J40</f>
        <v>0</v>
      </c>
      <c r="K38" s="84">
        <f>K39+K40</f>
        <v>2900000</v>
      </c>
      <c r="L38" s="84">
        <f>L39+L40</f>
        <v>4700000</v>
      </c>
      <c r="M38" s="84">
        <f>M39+M40</f>
        <v>1000000</v>
      </c>
      <c r="N38" s="84">
        <f>N39+N40</f>
        <v>340000</v>
      </c>
      <c r="O38" s="84">
        <f>O39+O40</f>
        <v>700000</v>
      </c>
      <c r="P38" s="84">
        <f>P39+P40</f>
        <v>400000</v>
      </c>
      <c r="Q38" s="84">
        <f>Q39+Q40</f>
        <v>0</v>
      </c>
      <c r="R38" s="84">
        <f>R39+R40</f>
        <v>0</v>
      </c>
      <c r="S38" s="84">
        <f>S39+S40</f>
        <v>0</v>
      </c>
      <c r="T38" s="84">
        <f>T39+T40</f>
        <v>0</v>
      </c>
      <c r="U38" s="84">
        <f>U39+U40</f>
        <v>0</v>
      </c>
      <c r="V38" s="84">
        <f>V39+V40</f>
        <v>10740000</v>
      </c>
      <c r="W38" s="85"/>
    </row>
    <row r="39" spans="1:23" s="96" customFormat="1" ht="28.5" customHeight="1">
      <c r="A39" s="76"/>
      <c r="B39" s="79"/>
      <c r="C39" s="71" t="s">
        <v>145</v>
      </c>
      <c r="D39" s="71"/>
      <c r="E39" s="72" t="s">
        <v>104</v>
      </c>
      <c r="F39" s="72" t="s">
        <v>104</v>
      </c>
      <c r="G39" s="72" t="s">
        <v>104</v>
      </c>
      <c r="H39" s="84">
        <f>'załcznika 2a'!H75</f>
        <v>0</v>
      </c>
      <c r="I39" s="84">
        <f>'załcznika 2a'!I75</f>
        <v>0</v>
      </c>
      <c r="J39" s="84">
        <f>'załcznika 2a'!J75</f>
        <v>0</v>
      </c>
      <c r="K39" s="84">
        <f>'załcznika 2a'!K75</f>
        <v>0</v>
      </c>
      <c r="L39" s="84">
        <f>'załcznika 2a'!L75</f>
        <v>0</v>
      </c>
      <c r="M39" s="84">
        <f>'załcznika 2a'!M75</f>
        <v>0</v>
      </c>
      <c r="N39" s="84">
        <f>'załcznika 2a'!N75</f>
        <v>0</v>
      </c>
      <c r="O39" s="84">
        <f>'załcznika 2a'!O75</f>
        <v>0</v>
      </c>
      <c r="P39" s="84">
        <f>'załcznika 2a'!P75</f>
        <v>0</v>
      </c>
      <c r="Q39" s="84">
        <f>'załcznika 2a'!Q75</f>
        <v>0</v>
      </c>
      <c r="R39" s="84">
        <f>'załcznika 2a'!R75</f>
        <v>0</v>
      </c>
      <c r="S39" s="84">
        <f>'załcznika 2a'!S75</f>
        <v>0</v>
      </c>
      <c r="T39" s="84">
        <f>'załcznika 2a'!T75</f>
        <v>0</v>
      </c>
      <c r="U39" s="84">
        <f>'załcznika 2a'!U75</f>
        <v>0</v>
      </c>
      <c r="V39" s="77">
        <f>SUM(I39:U39)</f>
        <v>0</v>
      </c>
      <c r="W39" s="85"/>
    </row>
    <row r="40" spans="1:23" s="96" customFormat="1" ht="28.5" customHeight="1">
      <c r="A40" s="76"/>
      <c r="B40" s="79"/>
      <c r="C40" s="71" t="s">
        <v>146</v>
      </c>
      <c r="D40" s="71"/>
      <c r="E40" s="72" t="s">
        <v>104</v>
      </c>
      <c r="F40" s="72" t="s">
        <v>104</v>
      </c>
      <c r="G40" s="72" t="s">
        <v>104</v>
      </c>
      <c r="H40" s="84">
        <f>'załcznika 2a'!H76</f>
        <v>9300000</v>
      </c>
      <c r="I40" s="84">
        <f>'załcznika 2a'!I76</f>
        <v>700000</v>
      </c>
      <c r="J40" s="84">
        <f>'załcznika 2a'!J76</f>
        <v>0</v>
      </c>
      <c r="K40" s="84">
        <f>'załcznika 2a'!K76</f>
        <v>2900000</v>
      </c>
      <c r="L40" s="84">
        <f>'załcznika 2a'!L76</f>
        <v>4700000</v>
      </c>
      <c r="M40" s="84">
        <f>'załcznika 2a'!M76</f>
        <v>1000000</v>
      </c>
      <c r="N40" s="84">
        <f>'załcznika 2a'!N76</f>
        <v>340000</v>
      </c>
      <c r="O40" s="84">
        <f>'załcznika 2a'!O76</f>
        <v>700000</v>
      </c>
      <c r="P40" s="84">
        <f>'załcznika 2a'!P76</f>
        <v>400000</v>
      </c>
      <c r="Q40" s="84">
        <f>'załcznika 2a'!Q76</f>
        <v>0</v>
      </c>
      <c r="R40" s="84">
        <f>'załcznika 2a'!R76</f>
        <v>0</v>
      </c>
      <c r="S40" s="84">
        <f>'załcznika 2a'!S76</f>
        <v>0</v>
      </c>
      <c r="T40" s="84">
        <f>'załcznika 2a'!T76</f>
        <v>0</v>
      </c>
      <c r="U40" s="84">
        <f>'załcznika 2a'!U76</f>
        <v>0</v>
      </c>
      <c r="V40" s="77">
        <f>SUM(I40:U40)</f>
        <v>10740000</v>
      </c>
      <c r="W40" s="85"/>
    </row>
    <row r="41" spans="1:23" ht="22.5" customHeight="1">
      <c r="A41" s="76"/>
      <c r="B41" s="79"/>
      <c r="C41" s="76" t="s">
        <v>152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8"/>
    </row>
    <row r="42" spans="1:23" s="97" customFormat="1" ht="78" customHeight="1">
      <c r="A42" s="76"/>
      <c r="B42" s="79" t="s">
        <v>169</v>
      </c>
      <c r="C42" s="80" t="s">
        <v>170</v>
      </c>
      <c r="D42" s="80"/>
      <c r="E42" s="81" t="s">
        <v>150</v>
      </c>
      <c r="F42" s="72" t="s">
        <v>104</v>
      </c>
      <c r="G42" s="72" t="s">
        <v>104</v>
      </c>
      <c r="H42" s="84">
        <f>H43+H44</f>
        <v>7216939.051953125</v>
      </c>
      <c r="I42" s="84">
        <f>I43+I44</f>
        <v>1373000</v>
      </c>
      <c r="J42" s="84">
        <f>J43+J44</f>
        <v>1407325</v>
      </c>
      <c r="K42" s="84">
        <f>K43+K44</f>
        <v>1442508.125</v>
      </c>
      <c r="L42" s="84">
        <f>L43+L44</f>
        <v>1478570.828125</v>
      </c>
      <c r="M42" s="84">
        <f>M43+M44</f>
        <v>1515535.098828125</v>
      </c>
      <c r="N42" s="84">
        <f>N43+N44</f>
        <v>1553423.4762988281</v>
      </c>
      <c r="O42" s="84">
        <f>O43+O44</f>
        <v>1592259.0632062987</v>
      </c>
      <c r="P42" s="84">
        <f>P43+P44</f>
        <v>1632065.5397864562</v>
      </c>
      <c r="Q42" s="84">
        <f>Q43+Q44</f>
        <v>1672867.1782811177</v>
      </c>
      <c r="R42" s="84">
        <f>R43+R44</f>
        <v>1714688.8577381459</v>
      </c>
      <c r="S42" s="84">
        <f>S43+S44</f>
        <v>1757556.0791815994</v>
      </c>
      <c r="T42" s="84">
        <f>T43+T44</f>
        <v>1801494.9811611394</v>
      </c>
      <c r="U42" s="84">
        <f>U43+U44</f>
        <v>1846532.3556901678</v>
      </c>
      <c r="V42" s="84">
        <f>V43+V44</f>
        <v>20787826.583296876</v>
      </c>
      <c r="W42" s="85"/>
    </row>
    <row r="43" spans="1:23" s="96" customFormat="1" ht="28.5" customHeight="1">
      <c r="A43" s="76"/>
      <c r="B43" s="79"/>
      <c r="C43" s="71" t="s">
        <v>171</v>
      </c>
      <c r="D43" s="71"/>
      <c r="E43" s="72" t="s">
        <v>104</v>
      </c>
      <c r="F43" s="72" t="s">
        <v>104</v>
      </c>
      <c r="G43" s="72" t="s">
        <v>104</v>
      </c>
      <c r="H43" s="84">
        <f>'załcznika 2a'!H103</f>
        <v>7216939.051953125</v>
      </c>
      <c r="I43" s="84">
        <f>'załcznika 2a'!I103</f>
        <v>1373000</v>
      </c>
      <c r="J43" s="84">
        <f>'załcznika 2a'!J103</f>
        <v>1407325</v>
      </c>
      <c r="K43" s="84">
        <f>'załcznika 2a'!K103</f>
        <v>1442508.125</v>
      </c>
      <c r="L43" s="84">
        <f>'załcznika 2a'!L103</f>
        <v>1478570.828125</v>
      </c>
      <c r="M43" s="84">
        <f>'załcznika 2a'!M103</f>
        <v>1515535.098828125</v>
      </c>
      <c r="N43" s="84">
        <f>'załcznika 2a'!N103</f>
        <v>1553423.4762988281</v>
      </c>
      <c r="O43" s="84">
        <f>'załcznika 2a'!O103</f>
        <v>1592259.0632062987</v>
      </c>
      <c r="P43" s="84">
        <f>'załcznika 2a'!P103</f>
        <v>1632065.5397864562</v>
      </c>
      <c r="Q43" s="84">
        <f>'załcznika 2a'!Q103</f>
        <v>1672867.1782811177</v>
      </c>
      <c r="R43" s="84">
        <f>'załcznika 2a'!R103</f>
        <v>1714688.8577381459</v>
      </c>
      <c r="S43" s="84">
        <f>'załcznika 2a'!S103</f>
        <v>1757556.0791815994</v>
      </c>
      <c r="T43" s="84">
        <f>'załcznika 2a'!T103</f>
        <v>1801494.9811611394</v>
      </c>
      <c r="U43" s="84">
        <f>'załcznika 2a'!U103</f>
        <v>1846532.3556901678</v>
      </c>
      <c r="V43" s="89">
        <f>SUM(I43:U43)</f>
        <v>20787826.583296876</v>
      </c>
      <c r="W43" s="85"/>
    </row>
    <row r="44" spans="1:23" s="96" customFormat="1" ht="28.5" customHeight="1">
      <c r="A44" s="76"/>
      <c r="B44" s="79"/>
      <c r="C44" s="71" t="s">
        <v>146</v>
      </c>
      <c r="D44" s="71"/>
      <c r="E44" s="72" t="s">
        <v>104</v>
      </c>
      <c r="F44" s="72" t="s">
        <v>104</v>
      </c>
      <c r="G44" s="72" t="s">
        <v>104</v>
      </c>
      <c r="H44" s="84">
        <f>'załcznika 2a'!H104</f>
        <v>0</v>
      </c>
      <c r="I44" s="84">
        <f>'załcznika 2a'!I104</f>
        <v>0</v>
      </c>
      <c r="J44" s="84">
        <f>'załcznika 2a'!J104</f>
        <v>0</v>
      </c>
      <c r="K44" s="84">
        <f>'załcznika 2a'!K104</f>
        <v>0</v>
      </c>
      <c r="L44" s="84">
        <f>'załcznika 2a'!L104</f>
        <v>0</v>
      </c>
      <c r="M44" s="84">
        <f>'załcznika 2a'!M104</f>
        <v>0</v>
      </c>
      <c r="N44" s="84">
        <f>'załcznika 2a'!N104</f>
        <v>0</v>
      </c>
      <c r="O44" s="84">
        <f>'załcznika 2a'!O104</f>
        <v>0</v>
      </c>
      <c r="P44" s="84">
        <f>'załcznika 2a'!P104</f>
        <v>0</v>
      </c>
      <c r="Q44" s="84">
        <f>'załcznika 2a'!Q104</f>
        <v>0</v>
      </c>
      <c r="R44" s="84">
        <f>'załcznika 2a'!R104</f>
        <v>0</v>
      </c>
      <c r="S44" s="84">
        <f>'załcznika 2a'!S104</f>
        <v>0</v>
      </c>
      <c r="T44" s="84">
        <f>'załcznika 2a'!T104</f>
        <v>0</v>
      </c>
      <c r="U44" s="84">
        <f>'załcznika 2a'!U104</f>
        <v>0</v>
      </c>
      <c r="V44" s="89">
        <f>SUM(I44:U44)</f>
        <v>0</v>
      </c>
      <c r="W44" s="85"/>
    </row>
    <row r="45" spans="1:23" s="97" customFormat="1" ht="12.75" customHeight="1" hidden="1">
      <c r="A45" s="76"/>
      <c r="B45" s="98" t="s">
        <v>172</v>
      </c>
      <c r="C45" s="99" t="s">
        <v>173</v>
      </c>
      <c r="D45" s="99"/>
      <c r="E45" s="100" t="s">
        <v>104</v>
      </c>
      <c r="F45" s="100" t="s">
        <v>104</v>
      </c>
      <c r="G45" s="100" t="s">
        <v>104</v>
      </c>
      <c r="H45" s="31">
        <f>H46+H47</f>
        <v>0</v>
      </c>
      <c r="I45" s="31">
        <f>I46+I47</f>
        <v>0</v>
      </c>
      <c r="J45" s="31">
        <f>J46+J47</f>
        <v>0</v>
      </c>
      <c r="K45" s="31">
        <f>K46+K47</f>
        <v>0</v>
      </c>
      <c r="L45" s="31">
        <f>L46+L47</f>
        <v>0</v>
      </c>
      <c r="M45" s="31">
        <f>M46+M47</f>
        <v>0</v>
      </c>
      <c r="N45" s="31">
        <f>N46+N47</f>
        <v>0</v>
      </c>
      <c r="O45" s="31">
        <f>O46+O47</f>
        <v>0</v>
      </c>
      <c r="P45" s="31">
        <f>P46+P47</f>
        <v>0</v>
      </c>
      <c r="Q45" s="31">
        <f>Q46+Q47</f>
        <v>0</v>
      </c>
      <c r="R45" s="31">
        <f>R46+R47</f>
        <v>0</v>
      </c>
      <c r="S45" s="31">
        <f>S46+S47</f>
        <v>0</v>
      </c>
      <c r="T45" s="31">
        <f>T46+T47</f>
        <v>0</v>
      </c>
      <c r="U45" s="31">
        <f>U46+U47</f>
        <v>0</v>
      </c>
      <c r="V45" s="31">
        <f>V46+V47</f>
        <v>0</v>
      </c>
      <c r="W45" s="85"/>
    </row>
    <row r="46" spans="1:23" ht="12.75" customHeight="1" hidden="1">
      <c r="A46" s="76"/>
      <c r="B46" s="98"/>
      <c r="C46" s="101" t="s">
        <v>153</v>
      </c>
      <c r="D46" s="102" t="s">
        <v>174</v>
      </c>
      <c r="E46" s="103" t="s">
        <v>104</v>
      </c>
      <c r="F46" s="103" t="s">
        <v>104</v>
      </c>
      <c r="G46" s="103" t="s">
        <v>104</v>
      </c>
      <c r="H46" s="15">
        <f>SUM(I46:U46)</f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/>
      <c r="O46" s="104"/>
      <c r="P46" s="104"/>
      <c r="Q46" s="104"/>
      <c r="R46" s="104"/>
      <c r="S46" s="104"/>
      <c r="T46" s="104"/>
      <c r="U46" s="104"/>
      <c r="V46" s="15">
        <f>SUM(I46:M46)</f>
        <v>0</v>
      </c>
      <c r="W46" s="90"/>
    </row>
    <row r="47" spans="1:23" ht="12.75" customHeight="1" hidden="1">
      <c r="A47" s="76"/>
      <c r="B47" s="98"/>
      <c r="C47" s="101" t="s">
        <v>156</v>
      </c>
      <c r="D47" s="102" t="s">
        <v>174</v>
      </c>
      <c r="E47" s="103" t="s">
        <v>104</v>
      </c>
      <c r="F47" s="103" t="s">
        <v>104</v>
      </c>
      <c r="G47" s="103" t="s">
        <v>104</v>
      </c>
      <c r="H47" s="15">
        <f>SUM(I47:U47)</f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/>
      <c r="O47" s="104"/>
      <c r="P47" s="104"/>
      <c r="Q47" s="104"/>
      <c r="R47" s="104"/>
      <c r="S47" s="104"/>
      <c r="T47" s="104"/>
      <c r="U47" s="104"/>
      <c r="V47" s="15">
        <f>SUM(I47:M47)</f>
        <v>0</v>
      </c>
      <c r="W47" s="90"/>
    </row>
    <row r="48" spans="5:23" ht="13.5">
      <c r="E48" s="62"/>
      <c r="F48" s="62"/>
      <c r="G48" s="62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</row>
    <row r="49" spans="5:7" ht="13.5">
      <c r="E49" s="62"/>
      <c r="F49" s="62"/>
      <c r="G49" s="62"/>
    </row>
    <row r="50" spans="5:7" ht="13.5">
      <c r="E50" s="62"/>
      <c r="F50" s="62"/>
      <c r="G50" s="62"/>
    </row>
    <row r="51" spans="5:7" ht="13.5">
      <c r="E51" s="62"/>
      <c r="F51" s="62"/>
      <c r="G51" s="62"/>
    </row>
    <row r="52" spans="5:7" ht="13.5">
      <c r="E52" s="62"/>
      <c r="F52" s="62"/>
      <c r="G52" s="62"/>
    </row>
    <row r="53" spans="5:7" ht="13.5">
      <c r="E53" s="62"/>
      <c r="F53" s="62"/>
      <c r="G53" s="62"/>
    </row>
    <row r="54" spans="5:7" ht="13.5">
      <c r="E54" s="62"/>
      <c r="F54" s="62"/>
      <c r="G54" s="62"/>
    </row>
    <row r="55" spans="5:7" ht="13.5">
      <c r="E55" s="62"/>
      <c r="F55" s="62"/>
      <c r="G55" s="62"/>
    </row>
    <row r="56" spans="5:7" ht="13.5">
      <c r="E56" s="62"/>
      <c r="F56" s="62"/>
      <c r="G56" s="62"/>
    </row>
  </sheetData>
  <mergeCells count="35">
    <mergeCell ref="A1:V1"/>
    <mergeCell ref="A2:A3"/>
    <mergeCell ref="B2:D3"/>
    <mergeCell ref="E2:E3"/>
    <mergeCell ref="F2:G2"/>
    <mergeCell ref="H2:H3"/>
    <mergeCell ref="I2:U2"/>
    <mergeCell ref="V2:V3"/>
    <mergeCell ref="B4:D4"/>
    <mergeCell ref="B5:D5"/>
    <mergeCell ref="B6:D6"/>
    <mergeCell ref="B7:D7"/>
    <mergeCell ref="A8:A47"/>
    <mergeCell ref="B8:D8"/>
    <mergeCell ref="B9:B27"/>
    <mergeCell ref="C9:D9"/>
    <mergeCell ref="C10:D10"/>
    <mergeCell ref="C11:D11"/>
    <mergeCell ref="C12:D12"/>
    <mergeCell ref="B28:B37"/>
    <mergeCell ref="C28:D28"/>
    <mergeCell ref="C29:D29"/>
    <mergeCell ref="C30:D30"/>
    <mergeCell ref="C31:D31"/>
    <mergeCell ref="B38:B41"/>
    <mergeCell ref="C38:D38"/>
    <mergeCell ref="C39:D39"/>
    <mergeCell ref="C40:D40"/>
    <mergeCell ref="C41:D41"/>
    <mergeCell ref="B42:B44"/>
    <mergeCell ref="C42:D42"/>
    <mergeCell ref="C43:D43"/>
    <mergeCell ref="C44:D44"/>
    <mergeCell ref="B45:B47"/>
    <mergeCell ref="C45:D45"/>
  </mergeCells>
  <printOptions horizontalCentered="1"/>
  <pageMargins left="0.5902777777777778" right="0.5902777777777778" top="1.0090277777777779" bottom="0.875" header="0.5902777777777778" footer="0.5902777777777778"/>
  <pageSetup horizontalDpi="300" verticalDpi="300" orientation="landscape" paperSize="9" scale="28"/>
  <headerFooter alignWithMargins="0">
    <oddHeader>&amp;R&amp;"Times New Roman,Normalny"&amp;16Załącznik nr 2 do uchwały Nr ...../2010 z dnia .................w sprawie wieloletniej prognozy finansowej Gminy Barlinek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32"/>
  <sheetViews>
    <sheetView view="pageBreakPreview" zoomScale="67" zoomScaleSheetLayoutView="67" workbookViewId="0" topLeftCell="A1">
      <pane ySplit="4" topLeftCell="A5" activePane="bottomLeft" state="frozen"/>
      <selection pane="topLeft" activeCell="A1" sqref="A1"/>
      <selection pane="bottomLeft" activeCell="A8" activeCellId="1" sqref="G50:I50 A8"/>
    </sheetView>
  </sheetViews>
  <sheetFormatPr defaultColWidth="8.796875" defaultRowHeight="14.25"/>
  <cols>
    <col min="1" max="1" width="6" style="60" customWidth="1"/>
    <col min="2" max="2" width="5" style="60" customWidth="1"/>
    <col min="3" max="3" width="6" style="60" customWidth="1"/>
    <col min="4" max="4" width="67.59765625" style="60" customWidth="1"/>
    <col min="5" max="5" width="21.09765625" style="27" customWidth="1"/>
    <col min="6" max="6" width="14.296875" style="27" customWidth="1"/>
    <col min="7" max="7" width="15.09765625" style="27" customWidth="1"/>
    <col min="8" max="8" width="21.09765625" style="61" customWidth="1"/>
    <col min="9" max="9" width="18.296875" style="62" customWidth="1"/>
    <col min="10" max="10" width="17.296875" style="62" customWidth="1"/>
    <col min="11" max="11" width="15.296875" style="62" customWidth="1"/>
    <col min="12" max="12" width="15.5" style="62" customWidth="1"/>
    <col min="13" max="13" width="13.59765625" style="62" customWidth="1"/>
    <col min="14" max="22" width="16.09765625" style="62" customWidth="1"/>
    <col min="23" max="23" width="9" style="62" customWidth="1"/>
    <col min="24" max="16384" width="9" style="27" customWidth="1"/>
  </cols>
  <sheetData>
    <row r="1" spans="1:23" ht="38.25" customHeight="1">
      <c r="A1" s="107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64"/>
    </row>
    <row r="2" spans="1:23" s="68" customFormat="1" ht="37.5" customHeight="1">
      <c r="A2" s="65" t="s">
        <v>2</v>
      </c>
      <c r="B2" s="66" t="s">
        <v>3</v>
      </c>
      <c r="C2" s="66"/>
      <c r="D2" s="66"/>
      <c r="E2" s="66" t="s">
        <v>137</v>
      </c>
      <c r="F2" s="66" t="s">
        <v>138</v>
      </c>
      <c r="G2" s="66"/>
      <c r="H2" s="66" t="s">
        <v>139</v>
      </c>
      <c r="I2" s="66" t="s">
        <v>140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 t="s">
        <v>141</v>
      </c>
      <c r="W2" s="67"/>
    </row>
    <row r="3" spans="1:23" s="68" customFormat="1" ht="24" customHeight="1">
      <c r="A3" s="65"/>
      <c r="B3" s="66"/>
      <c r="C3" s="66"/>
      <c r="D3" s="66"/>
      <c r="E3" s="66"/>
      <c r="F3" s="66" t="s">
        <v>142</v>
      </c>
      <c r="G3" s="66" t="s">
        <v>143</v>
      </c>
      <c r="H3" s="66"/>
      <c r="I3" s="66" t="s">
        <v>6</v>
      </c>
      <c r="J3" s="66" t="s">
        <v>10</v>
      </c>
      <c r="K3" s="66" t="s">
        <v>11</v>
      </c>
      <c r="L3" s="66" t="s">
        <v>12</v>
      </c>
      <c r="M3" s="66" t="s">
        <v>13</v>
      </c>
      <c r="N3" s="66" t="s">
        <v>14</v>
      </c>
      <c r="O3" s="66" t="s">
        <v>15</v>
      </c>
      <c r="P3" s="66" t="s">
        <v>16</v>
      </c>
      <c r="Q3" s="66" t="s">
        <v>17</v>
      </c>
      <c r="R3" s="66" t="s">
        <v>18</v>
      </c>
      <c r="S3" s="66" t="s">
        <v>19</v>
      </c>
      <c r="T3" s="66" t="s">
        <v>20</v>
      </c>
      <c r="U3" s="66" t="s">
        <v>21</v>
      </c>
      <c r="V3" s="66"/>
      <c r="W3" s="67"/>
    </row>
    <row r="4" spans="1:23" s="68" customFormat="1" ht="12" customHeight="1">
      <c r="A4" s="65">
        <v>1</v>
      </c>
      <c r="B4" s="65">
        <v>2</v>
      </c>
      <c r="C4" s="65"/>
      <c r="D4" s="65"/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65">
        <v>13</v>
      </c>
      <c r="P4" s="65">
        <v>14</v>
      </c>
      <c r="Q4" s="65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9"/>
    </row>
    <row r="5" spans="1:23" s="114" customFormat="1" ht="27.75" customHeight="1">
      <c r="A5" s="108" t="s">
        <v>22</v>
      </c>
      <c r="B5" s="109" t="s">
        <v>144</v>
      </c>
      <c r="C5" s="109"/>
      <c r="D5" s="109"/>
      <c r="E5" s="110" t="s">
        <v>104</v>
      </c>
      <c r="F5" s="110" t="s">
        <v>104</v>
      </c>
      <c r="G5" s="110" t="s">
        <v>104</v>
      </c>
      <c r="H5" s="111">
        <f>H6+H7</f>
        <v>45634709.45829688</v>
      </c>
      <c r="I5" s="111">
        <f>I6+I7</f>
        <v>3307000</v>
      </c>
      <c r="J5" s="111">
        <f>J6+J7</f>
        <v>6623429</v>
      </c>
      <c r="K5" s="111">
        <f>K6+K7</f>
        <v>11359287</v>
      </c>
      <c r="L5" s="111">
        <f>L6+L7</f>
        <v>6818570.828125</v>
      </c>
      <c r="M5" s="111">
        <f>M6+M7</f>
        <v>2515535.098828125</v>
      </c>
      <c r="N5" s="111">
        <f>N6+N7</f>
        <v>1893423.4762988281</v>
      </c>
      <c r="O5" s="111">
        <f>O6+O7</f>
        <v>2292259.0632062987</v>
      </c>
      <c r="P5" s="111">
        <f>P6+P7</f>
        <v>2032065.5397864562</v>
      </c>
      <c r="Q5" s="111">
        <f>Q6+Q7</f>
        <v>1672867.1782811177</v>
      </c>
      <c r="R5" s="111">
        <f>R6+R7</f>
        <v>1714688.8577381459</v>
      </c>
      <c r="S5" s="111">
        <f>S6+S7</f>
        <v>1757556.0791815994</v>
      </c>
      <c r="T5" s="111">
        <f>T6+T7</f>
        <v>1801494.9811611394</v>
      </c>
      <c r="U5" s="111">
        <f>U6+U7</f>
        <v>1846532.3556901678</v>
      </c>
      <c r="V5" s="112">
        <f>SUM(I5:U5)</f>
        <v>45634709.45829688</v>
      </c>
      <c r="W5" s="113"/>
    </row>
    <row r="6" spans="1:23" s="114" customFormat="1" ht="27.75" customHeight="1">
      <c r="A6" s="108" t="s">
        <v>24</v>
      </c>
      <c r="B6" s="109" t="s">
        <v>145</v>
      </c>
      <c r="C6" s="109"/>
      <c r="D6" s="109"/>
      <c r="E6" s="110" t="s">
        <v>104</v>
      </c>
      <c r="F6" s="110" t="s">
        <v>104</v>
      </c>
      <c r="G6" s="110" t="s">
        <v>104</v>
      </c>
      <c r="H6" s="111">
        <f>SUM(I6:U6)</f>
        <v>22376388.458296876</v>
      </c>
      <c r="I6" s="111">
        <f>I10+I65+I75+I103+I121</f>
        <v>1807000</v>
      </c>
      <c r="J6" s="111">
        <f>J10+J65+J75+J103+J121</f>
        <v>1931800</v>
      </c>
      <c r="K6" s="111">
        <f>K10+K65+K75+K103+K121</f>
        <v>2072595</v>
      </c>
      <c r="L6" s="111">
        <f>L10+L65+L75+L103+L121</f>
        <v>1478570.828125</v>
      </c>
      <c r="M6" s="111">
        <f>M10+M65+M75+M103+M121</f>
        <v>1515535.098828125</v>
      </c>
      <c r="N6" s="111">
        <f>N10+N65+N75+N103+N121</f>
        <v>1553423.4762988281</v>
      </c>
      <c r="O6" s="111">
        <f>O10+O65+O75+O103+O121</f>
        <v>1592259.0632062987</v>
      </c>
      <c r="P6" s="111">
        <f>P10+P65+P75+P103+P121</f>
        <v>1632065.5397864562</v>
      </c>
      <c r="Q6" s="111">
        <f>Q10+Q65+Q75+Q103+Q121</f>
        <v>1672867.1782811177</v>
      </c>
      <c r="R6" s="111">
        <f>R10+R65+R75+R103+R121</f>
        <v>1714688.8577381459</v>
      </c>
      <c r="S6" s="111">
        <f>S10+S65+S75+S103+S121</f>
        <v>1757556.0791815994</v>
      </c>
      <c r="T6" s="111">
        <f>T10+T65+T75+T103+T121</f>
        <v>1801494.9811611394</v>
      </c>
      <c r="U6" s="111">
        <f>U10+U65+U75+U103+U121</f>
        <v>1846532.3556901678</v>
      </c>
      <c r="V6" s="112">
        <f>SUM(I6:U6)</f>
        <v>22376388.458296876</v>
      </c>
      <c r="W6" s="113"/>
    </row>
    <row r="7" spans="1:23" s="114" customFormat="1" ht="27.75" customHeight="1">
      <c r="A7" s="108" t="s">
        <v>26</v>
      </c>
      <c r="B7" s="109" t="s">
        <v>146</v>
      </c>
      <c r="C7" s="109"/>
      <c r="D7" s="109"/>
      <c r="E7" s="110" t="s">
        <v>104</v>
      </c>
      <c r="F7" s="110" t="s">
        <v>104</v>
      </c>
      <c r="G7" s="110" t="s">
        <v>104</v>
      </c>
      <c r="H7" s="111">
        <f>SUM(I7:U7)</f>
        <v>23258321</v>
      </c>
      <c r="I7" s="111">
        <f>I11+I66+I76+I104</f>
        <v>1500000</v>
      </c>
      <c r="J7" s="111">
        <f>J11+J66+J76+J104</f>
        <v>4691629</v>
      </c>
      <c r="K7" s="111">
        <f>K11+K66+K76+K104</f>
        <v>9286692</v>
      </c>
      <c r="L7" s="111">
        <f>L11+L66+L76+L104</f>
        <v>5340000</v>
      </c>
      <c r="M7" s="111">
        <f>M11+M66+M76+M104</f>
        <v>1000000</v>
      </c>
      <c r="N7" s="111">
        <f>N11+N66+N76+N104</f>
        <v>340000</v>
      </c>
      <c r="O7" s="111">
        <f>O11+O66+O76+O104</f>
        <v>700000</v>
      </c>
      <c r="P7" s="111">
        <f>P11+P66+P76+P104</f>
        <v>400000</v>
      </c>
      <c r="Q7" s="111">
        <f>Q11+Q66+Q76+Q104</f>
        <v>0</v>
      </c>
      <c r="R7" s="111">
        <f>R11+R66+R76+R104</f>
        <v>0</v>
      </c>
      <c r="S7" s="111">
        <f>S11+S66+S76+S104</f>
        <v>0</v>
      </c>
      <c r="T7" s="111">
        <f>T11+T66+T76+T104</f>
        <v>0</v>
      </c>
      <c r="U7" s="111">
        <f>U11+U66+U76+U104</f>
        <v>0</v>
      </c>
      <c r="V7" s="112">
        <f>SUM(I7:U7)</f>
        <v>23258321</v>
      </c>
      <c r="W7" s="113"/>
    </row>
    <row r="8" spans="1:23" s="118" customFormat="1" ht="19.5" customHeight="1">
      <c r="A8" s="115"/>
      <c r="B8" s="115" t="s">
        <v>147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>
        <f>SUM(I8:U8)</f>
        <v>0</v>
      </c>
      <c r="W8" s="117"/>
    </row>
    <row r="9" spans="1:23" s="122" customFormat="1" ht="53.25" customHeight="1">
      <c r="A9" s="115"/>
      <c r="B9" s="119" t="s">
        <v>148</v>
      </c>
      <c r="C9" s="120" t="s">
        <v>149</v>
      </c>
      <c r="D9" s="120"/>
      <c r="E9" s="110" t="s">
        <v>104</v>
      </c>
      <c r="F9" s="110" t="s">
        <v>104</v>
      </c>
      <c r="G9" s="110" t="s">
        <v>104</v>
      </c>
      <c r="H9" s="111">
        <f>H10+H11</f>
        <v>14106882.875</v>
      </c>
      <c r="I9" s="111">
        <f>I10+I11</f>
        <v>1234000</v>
      </c>
      <c r="J9" s="111">
        <f>J10+J11</f>
        <v>5216104</v>
      </c>
      <c r="K9" s="111">
        <f>K10+K11</f>
        <v>7016778.875</v>
      </c>
      <c r="L9" s="111">
        <f>L10+L11</f>
        <v>640000</v>
      </c>
      <c r="M9" s="111">
        <f>M10+M11</f>
        <v>0</v>
      </c>
      <c r="N9" s="111">
        <f>N10+N11</f>
        <v>0</v>
      </c>
      <c r="O9" s="111">
        <f>O10+O11</f>
        <v>0</v>
      </c>
      <c r="P9" s="111">
        <f>P10+P11</f>
        <v>0</v>
      </c>
      <c r="Q9" s="111">
        <f>Q10+Q11</f>
        <v>0</v>
      </c>
      <c r="R9" s="111">
        <f>R10+R11</f>
        <v>0</v>
      </c>
      <c r="S9" s="111">
        <f>S10+S11</f>
        <v>0</v>
      </c>
      <c r="T9" s="111">
        <f>T10+T11</f>
        <v>0</v>
      </c>
      <c r="U9" s="111">
        <f>U10+U11</f>
        <v>0</v>
      </c>
      <c r="V9" s="112">
        <f>SUM(I9:U9)</f>
        <v>14106882.875</v>
      </c>
      <c r="W9" s="121"/>
    </row>
    <row r="10" spans="1:23" s="123" customFormat="1" ht="27.75" customHeight="1">
      <c r="A10" s="115"/>
      <c r="B10" s="119"/>
      <c r="C10" s="109" t="s">
        <v>145</v>
      </c>
      <c r="D10" s="109"/>
      <c r="E10" s="110" t="s">
        <v>104</v>
      </c>
      <c r="F10" s="110" t="s">
        <v>104</v>
      </c>
      <c r="G10" s="110" t="s">
        <v>104</v>
      </c>
      <c r="H10" s="111">
        <f>SUM(I10:U10)</f>
        <v>1588561.875</v>
      </c>
      <c r="I10" s="111">
        <f>I14+I17+I62+I59+I44</f>
        <v>434000</v>
      </c>
      <c r="J10" s="111">
        <f>J14+J17+J62+J59+J44</f>
        <v>524475</v>
      </c>
      <c r="K10" s="111">
        <f>K14+K17+K62+K59+K44</f>
        <v>630086.875</v>
      </c>
      <c r="L10" s="111">
        <f>L14+L17+L62+L59+L44</f>
        <v>0</v>
      </c>
      <c r="M10" s="111">
        <f>M14+M17+M62+M59+M44</f>
        <v>0</v>
      </c>
      <c r="N10" s="111">
        <f>N14+N17+N62+N59+N44</f>
        <v>0</v>
      </c>
      <c r="O10" s="111">
        <f>O14+O17+O62+O59+O44</f>
        <v>0</v>
      </c>
      <c r="P10" s="111">
        <f>P14+P17+P62+P59+P44</f>
        <v>0</v>
      </c>
      <c r="Q10" s="111">
        <f>Q14+Q17+Q62+Q59+Q44</f>
        <v>0</v>
      </c>
      <c r="R10" s="111">
        <f>R14+R17+R62+R59+R44</f>
        <v>0</v>
      </c>
      <c r="S10" s="111">
        <f>S14+S17+S62+S59+S44</f>
        <v>0</v>
      </c>
      <c r="T10" s="111">
        <f>T14+T17+T62+T59+T44</f>
        <v>0</v>
      </c>
      <c r="U10" s="111">
        <f>U14+U17+U62+U59+U44</f>
        <v>0</v>
      </c>
      <c r="V10" s="116">
        <f>SUM(I10:U10)</f>
        <v>1588561.875</v>
      </c>
      <c r="W10" s="121"/>
    </row>
    <row r="11" spans="1:23" s="123" customFormat="1" ht="27.75" customHeight="1">
      <c r="A11" s="115"/>
      <c r="B11" s="119"/>
      <c r="C11" s="109" t="s">
        <v>146</v>
      </c>
      <c r="D11" s="109"/>
      <c r="E11" s="110" t="s">
        <v>104</v>
      </c>
      <c r="F11" s="110" t="s">
        <v>104</v>
      </c>
      <c r="G11" s="110" t="s">
        <v>104</v>
      </c>
      <c r="H11" s="111">
        <f>SUM(I11:U11)</f>
        <v>12518321</v>
      </c>
      <c r="I11" s="111">
        <f>I15+I18+I63+I60+I45</f>
        <v>800000</v>
      </c>
      <c r="J11" s="111">
        <f>J15+J18+J63+J60+J45</f>
        <v>4691629</v>
      </c>
      <c r="K11" s="111">
        <f>K15+K18+K63+K60+K45</f>
        <v>6386692</v>
      </c>
      <c r="L11" s="111">
        <f>L15+L18+L63+L60+L45</f>
        <v>640000</v>
      </c>
      <c r="M11" s="111">
        <f>M15+M18+M63+M60+M45</f>
        <v>0</v>
      </c>
      <c r="N11" s="111">
        <f>N15+N18+N63+N60+N45</f>
        <v>0</v>
      </c>
      <c r="O11" s="111">
        <f>O15+O18+O63+O60+O45</f>
        <v>0</v>
      </c>
      <c r="P11" s="111">
        <f>P15+P18+P63+P60+P45</f>
        <v>0</v>
      </c>
      <c r="Q11" s="111">
        <f>Q15+Q18+Q63+Q60+Q45</f>
        <v>0</v>
      </c>
      <c r="R11" s="111">
        <f>R15+R18+R63+R60+R45</f>
        <v>0</v>
      </c>
      <c r="S11" s="111">
        <f>S15+S18+S63+S60+S45</f>
        <v>0</v>
      </c>
      <c r="T11" s="111">
        <f>T15+T18+T63+T60+T45</f>
        <v>0</v>
      </c>
      <c r="U11" s="111">
        <f>U15+U18+U63+U60+U45</f>
        <v>0</v>
      </c>
      <c r="V11" s="116">
        <f>SUM(I11:U11)</f>
        <v>12518321</v>
      </c>
      <c r="W11" s="121"/>
    </row>
    <row r="12" spans="1:23" s="60" customFormat="1" ht="27.75" customHeight="1">
      <c r="A12" s="115"/>
      <c r="B12" s="119"/>
      <c r="C12" s="115" t="s">
        <v>152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>
        <f>SUM(I12:U12)</f>
        <v>0</v>
      </c>
      <c r="W12" s="78"/>
    </row>
    <row r="13" spans="1:23" s="128" customFormat="1" ht="27.75" customHeight="1">
      <c r="A13" s="115"/>
      <c r="B13" s="119"/>
      <c r="C13" s="110" t="s">
        <v>153</v>
      </c>
      <c r="D13" s="124" t="s">
        <v>175</v>
      </c>
      <c r="E13" s="125" t="s">
        <v>150</v>
      </c>
      <c r="F13" s="125"/>
      <c r="G13" s="125"/>
      <c r="H13" s="126">
        <f>H14+H15</f>
        <v>673561.875</v>
      </c>
      <c r="I13" s="126">
        <f>I14+I15</f>
        <v>219000</v>
      </c>
      <c r="J13" s="126">
        <f>J14+J15</f>
        <v>224475</v>
      </c>
      <c r="K13" s="126">
        <f>K14+K15</f>
        <v>230086.875</v>
      </c>
      <c r="L13" s="126">
        <f>L14+L15</f>
        <v>0</v>
      </c>
      <c r="M13" s="126">
        <f>M14+M15</f>
        <v>0</v>
      </c>
      <c r="N13" s="126">
        <f>N14+N15</f>
        <v>0</v>
      </c>
      <c r="O13" s="126">
        <f>O14+O15</f>
        <v>0</v>
      </c>
      <c r="P13" s="126">
        <f>P14+P15</f>
        <v>0</v>
      </c>
      <c r="Q13" s="126">
        <f>Q14+Q15</f>
        <v>0</v>
      </c>
      <c r="R13" s="126">
        <f>R14+R15</f>
        <v>0</v>
      </c>
      <c r="S13" s="126">
        <f>S14+S15</f>
        <v>0</v>
      </c>
      <c r="T13" s="126">
        <f>T14+T15</f>
        <v>0</v>
      </c>
      <c r="U13" s="126">
        <f>U14+U15</f>
        <v>0</v>
      </c>
      <c r="V13" s="112">
        <f>SUM(I13:U13)</f>
        <v>673561.875</v>
      </c>
      <c r="W13" s="127"/>
    </row>
    <row r="14" spans="1:23" s="86" customFormat="1" ht="27.75" customHeight="1">
      <c r="A14" s="115"/>
      <c r="B14" s="119"/>
      <c r="C14" s="129"/>
      <c r="D14" s="129" t="s">
        <v>145</v>
      </c>
      <c r="E14" s="130" t="s">
        <v>104</v>
      </c>
      <c r="F14" s="130" t="s">
        <v>104</v>
      </c>
      <c r="G14" s="130" t="s">
        <v>104</v>
      </c>
      <c r="H14" s="116">
        <f>SUM(I14:U14)</f>
        <v>673561.875</v>
      </c>
      <c r="I14" s="116">
        <v>219000</v>
      </c>
      <c r="J14" s="116">
        <f>(I14*0.025)+I14</f>
        <v>224475</v>
      </c>
      <c r="K14" s="116">
        <f>(J14*0.025)+J14</f>
        <v>230086.875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>
        <f>SUM(I14:U14)</f>
        <v>673561.875</v>
      </c>
      <c r="W14" s="90"/>
    </row>
    <row r="15" spans="1:23" s="86" customFormat="1" ht="27.75" customHeight="1">
      <c r="A15" s="115"/>
      <c r="B15" s="119"/>
      <c r="C15" s="129"/>
      <c r="D15" s="129" t="s">
        <v>155</v>
      </c>
      <c r="E15" s="130" t="s">
        <v>104</v>
      </c>
      <c r="F15" s="130" t="s">
        <v>104</v>
      </c>
      <c r="G15" s="130" t="s">
        <v>104</v>
      </c>
      <c r="H15" s="116">
        <f>SUM(I15:U15)</f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16">
        <f>SUM(I15:U15)</f>
        <v>0</v>
      </c>
      <c r="W15" s="90"/>
    </row>
    <row r="16" spans="1:23" s="128" customFormat="1" ht="27.75" customHeight="1">
      <c r="A16" s="115"/>
      <c r="B16" s="119"/>
      <c r="C16" s="110" t="s">
        <v>156</v>
      </c>
      <c r="D16" s="124" t="s">
        <v>157</v>
      </c>
      <c r="E16" s="125" t="s">
        <v>150</v>
      </c>
      <c r="F16" s="125"/>
      <c r="G16" s="125"/>
      <c r="H16" s="126">
        <f>H17+H18</f>
        <v>5875000</v>
      </c>
      <c r="I16" s="126">
        <f>I17+I18</f>
        <v>215000</v>
      </c>
      <c r="J16" s="126">
        <f>J17+J18</f>
        <v>1480000</v>
      </c>
      <c r="K16" s="126">
        <f>K17+K18</f>
        <v>3540000</v>
      </c>
      <c r="L16" s="126">
        <f>L17+L18</f>
        <v>640000</v>
      </c>
      <c r="M16" s="126">
        <f>M17+M18</f>
        <v>0</v>
      </c>
      <c r="N16" s="126">
        <f>N17+N18</f>
        <v>0</v>
      </c>
      <c r="O16" s="126">
        <f>O17+O18</f>
        <v>0</v>
      </c>
      <c r="P16" s="126">
        <f>P17+P18</f>
        <v>0</v>
      </c>
      <c r="Q16" s="126">
        <f>Q17+Q18</f>
        <v>0</v>
      </c>
      <c r="R16" s="126">
        <f>R17+R18</f>
        <v>0</v>
      </c>
      <c r="S16" s="126">
        <f>S17+S18</f>
        <v>0</v>
      </c>
      <c r="T16" s="126">
        <f>T17+T18</f>
        <v>0</v>
      </c>
      <c r="U16" s="126">
        <f>U17+U18</f>
        <v>0</v>
      </c>
      <c r="V16" s="112">
        <f>SUM(I16:U16)</f>
        <v>5875000</v>
      </c>
      <c r="W16" s="127"/>
    </row>
    <row r="17" spans="1:23" s="86" customFormat="1" ht="27.75" customHeight="1">
      <c r="A17" s="115"/>
      <c r="B17" s="119"/>
      <c r="C17" s="129"/>
      <c r="D17" s="132" t="s">
        <v>145</v>
      </c>
      <c r="E17" s="130" t="s">
        <v>104</v>
      </c>
      <c r="F17" s="130" t="s">
        <v>104</v>
      </c>
      <c r="G17" s="130" t="s">
        <v>104</v>
      </c>
      <c r="H17" s="116">
        <f>SUM(I17:U17)</f>
        <v>915000</v>
      </c>
      <c r="I17" s="116">
        <f>I20+I23+I29+I32+I35+I38+I41+I26</f>
        <v>215000</v>
      </c>
      <c r="J17" s="116">
        <f>J20+J23+J29+J32+J35+J38+J41+J26</f>
        <v>300000</v>
      </c>
      <c r="K17" s="116">
        <f>K20+K23+K29+K32+K35+K38+K41+K26</f>
        <v>400000</v>
      </c>
      <c r="L17" s="116">
        <f>L20+L23+L29+L32+L35+L38+L41+L26</f>
        <v>0</v>
      </c>
      <c r="M17" s="116">
        <f>M20+M23+M29+M32+M35+M38+M41+M26</f>
        <v>0</v>
      </c>
      <c r="N17" s="116">
        <f>N20+N23+N29+N32+N35+N38+N41+N26</f>
        <v>0</v>
      </c>
      <c r="O17" s="116">
        <f>O20+O23+O29+O32+O35+O38+O41+O26</f>
        <v>0</v>
      </c>
      <c r="P17" s="116">
        <f>P20+P23+P29+P32+P35+P38+P41+P26</f>
        <v>0</v>
      </c>
      <c r="Q17" s="116">
        <f>Q20+Q23+Q29+Q32+Q35+Q38+Q41+Q26</f>
        <v>0</v>
      </c>
      <c r="R17" s="116">
        <f>R20+R23+R29+R32+R35+R38+R41+R26</f>
        <v>0</v>
      </c>
      <c r="S17" s="116">
        <f>S20+S23+S29+S32+S35+S38+S41+S26</f>
        <v>0</v>
      </c>
      <c r="T17" s="116">
        <f>T20+T23+T29+T32+T35+T38+T41+T26</f>
        <v>0</v>
      </c>
      <c r="U17" s="116">
        <f>U20+U23+U29+U32+U35+U38+U41+U26</f>
        <v>0</v>
      </c>
      <c r="V17" s="116">
        <f>SUM(I17:U17)</f>
        <v>915000</v>
      </c>
      <c r="W17" s="90"/>
    </row>
    <row r="18" spans="1:23" s="86" customFormat="1" ht="27.75" customHeight="1">
      <c r="A18" s="115"/>
      <c r="B18" s="119"/>
      <c r="C18" s="129"/>
      <c r="D18" s="129" t="s">
        <v>155</v>
      </c>
      <c r="E18" s="130" t="s">
        <v>104</v>
      </c>
      <c r="F18" s="130" t="s">
        <v>104</v>
      </c>
      <c r="G18" s="130" t="s">
        <v>104</v>
      </c>
      <c r="H18" s="116">
        <f>SUM(I18:U18)</f>
        <v>4960000</v>
      </c>
      <c r="I18" s="116">
        <f>I21+I24+I30+I33+I36+I39+I42+I27</f>
        <v>0</v>
      </c>
      <c r="J18" s="116">
        <f>J21+J24+J30+J33+J36+J39+J42+J27</f>
        <v>1180000</v>
      </c>
      <c r="K18" s="116">
        <f>K21+K24+K30+K33+K36+K39+K42+K27</f>
        <v>3140000</v>
      </c>
      <c r="L18" s="116">
        <f>L21+L24+L30+L33+L36+L39+L42+L27</f>
        <v>640000</v>
      </c>
      <c r="M18" s="116">
        <f>M21+M24+M30+M33+M36+M39+M42+M27</f>
        <v>0</v>
      </c>
      <c r="N18" s="116">
        <f>N21+N24+N30+N33+N36+N39+N42+N27</f>
        <v>0</v>
      </c>
      <c r="O18" s="116">
        <f>O21+O24+O30+O33+O36+O39+O42+O27</f>
        <v>0</v>
      </c>
      <c r="P18" s="116">
        <f>P21+P24+P30+P33+P36+P39+P42+P27</f>
        <v>0</v>
      </c>
      <c r="Q18" s="116">
        <f>Q21+Q24+Q30+Q33+Q36+Q39+Q42+Q27</f>
        <v>0</v>
      </c>
      <c r="R18" s="116">
        <f>R21+R24+R30+R33+R36+R39+R42+R27</f>
        <v>0</v>
      </c>
      <c r="S18" s="116">
        <f>S21+S24+S30+S33+S36+S39+S42+S27</f>
        <v>0</v>
      </c>
      <c r="T18" s="116">
        <f>T21+T24+T30+T33+T36+T39+T42+T27</f>
        <v>0</v>
      </c>
      <c r="U18" s="116">
        <f>U21+U24+U30+U33+U36+U39+U42+U27</f>
        <v>0</v>
      </c>
      <c r="V18" s="116">
        <f>SUM(I18:U18)</f>
        <v>4960000</v>
      </c>
      <c r="W18" s="90"/>
    </row>
    <row r="19" spans="1:23" s="75" customFormat="1" ht="39" customHeight="1">
      <c r="A19" s="115"/>
      <c r="B19" s="119"/>
      <c r="C19" s="133" t="s">
        <v>153</v>
      </c>
      <c r="D19" s="134" t="s">
        <v>176</v>
      </c>
      <c r="E19" s="125" t="s">
        <v>104</v>
      </c>
      <c r="F19" s="125" t="s">
        <v>104</v>
      </c>
      <c r="G19" s="125" t="s">
        <v>104</v>
      </c>
      <c r="H19" s="126">
        <f>H20+H21</f>
        <v>915000</v>
      </c>
      <c r="I19" s="126">
        <f>I20+I21</f>
        <v>215000</v>
      </c>
      <c r="J19" s="126">
        <f>J20+J21</f>
        <v>300000</v>
      </c>
      <c r="K19" s="126">
        <f>K20+K21</f>
        <v>400000</v>
      </c>
      <c r="L19" s="126">
        <f>L20+L21</f>
        <v>0</v>
      </c>
      <c r="M19" s="126">
        <f>M20+M21</f>
        <v>0</v>
      </c>
      <c r="N19" s="126">
        <f>N20+N21</f>
        <v>0</v>
      </c>
      <c r="O19" s="126">
        <f>O20+O21</f>
        <v>0</v>
      </c>
      <c r="P19" s="126">
        <f>P20+P21</f>
        <v>0</v>
      </c>
      <c r="Q19" s="126">
        <f>Q20+Q21</f>
        <v>0</v>
      </c>
      <c r="R19" s="126">
        <f>R20+R21</f>
        <v>0</v>
      </c>
      <c r="S19" s="126">
        <f>S20+S21</f>
        <v>0</v>
      </c>
      <c r="T19" s="126">
        <f>T20+T21</f>
        <v>0</v>
      </c>
      <c r="U19" s="112"/>
      <c r="V19" s="112">
        <f>SUM(I19:U19)</f>
        <v>915000</v>
      </c>
      <c r="W19" s="135"/>
    </row>
    <row r="20" spans="1:23" s="86" customFormat="1" ht="27.75" customHeight="1">
      <c r="A20" s="115"/>
      <c r="B20" s="119"/>
      <c r="C20" s="136"/>
      <c r="D20" s="132" t="s">
        <v>145</v>
      </c>
      <c r="E20" s="130" t="s">
        <v>104</v>
      </c>
      <c r="F20" s="130" t="s">
        <v>104</v>
      </c>
      <c r="G20" s="130" t="s">
        <v>104</v>
      </c>
      <c r="H20" s="116">
        <f>SUM(I20:U20)</f>
        <v>915000</v>
      </c>
      <c r="I20" s="116">
        <v>215000</v>
      </c>
      <c r="J20" s="116">
        <v>300000</v>
      </c>
      <c r="K20" s="116">
        <v>400000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>
        <f>SUM(I20:U20)</f>
        <v>915000</v>
      </c>
      <c r="W20" s="90"/>
    </row>
    <row r="21" spans="1:23" s="86" customFormat="1" ht="27.75" customHeight="1">
      <c r="A21" s="115"/>
      <c r="B21" s="119"/>
      <c r="C21" s="136"/>
      <c r="D21" s="129" t="s">
        <v>155</v>
      </c>
      <c r="E21" s="130" t="s">
        <v>104</v>
      </c>
      <c r="F21" s="130" t="s">
        <v>104</v>
      </c>
      <c r="G21" s="130" t="s">
        <v>104</v>
      </c>
      <c r="H21" s="116">
        <f>SUM(I21:U21)</f>
        <v>0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>
        <f>SUM(I21:U21)</f>
        <v>0</v>
      </c>
      <c r="W21" s="90"/>
    </row>
    <row r="22" spans="1:23" s="75" customFormat="1" ht="27.75" customHeight="1">
      <c r="A22" s="115"/>
      <c r="B22" s="119"/>
      <c r="C22" s="133" t="s">
        <v>156</v>
      </c>
      <c r="D22" s="134" t="s">
        <v>177</v>
      </c>
      <c r="E22" s="125" t="s">
        <v>104</v>
      </c>
      <c r="F22" s="125" t="s">
        <v>104</v>
      </c>
      <c r="G22" s="125" t="s">
        <v>104</v>
      </c>
      <c r="H22" s="126">
        <f>H23+H24</f>
        <v>900000</v>
      </c>
      <c r="I22" s="126">
        <f>I23+I24</f>
        <v>0</v>
      </c>
      <c r="J22" s="126">
        <f>J23+J24</f>
        <v>0</v>
      </c>
      <c r="K22" s="126">
        <f>K23+K24</f>
        <v>900000</v>
      </c>
      <c r="L22" s="126">
        <f>L23+L24</f>
        <v>0</v>
      </c>
      <c r="M22" s="126">
        <f>M23+M24</f>
        <v>0</v>
      </c>
      <c r="N22" s="126">
        <f>N23+N24</f>
        <v>0</v>
      </c>
      <c r="O22" s="126">
        <f>O23+O24</f>
        <v>0</v>
      </c>
      <c r="P22" s="126">
        <f>P23+P24</f>
        <v>0</v>
      </c>
      <c r="Q22" s="126">
        <f>Q23+Q24</f>
        <v>0</v>
      </c>
      <c r="R22" s="126">
        <f>R23+R24</f>
        <v>0</v>
      </c>
      <c r="S22" s="126">
        <f>S23+S24</f>
        <v>0</v>
      </c>
      <c r="T22" s="126">
        <f>T23+T24</f>
        <v>0</v>
      </c>
      <c r="U22" s="126">
        <f>U23+U24</f>
        <v>0</v>
      </c>
      <c r="V22" s="112">
        <f>SUM(I22:U22)</f>
        <v>900000</v>
      </c>
      <c r="W22" s="135"/>
    </row>
    <row r="23" spans="1:23" s="86" customFormat="1" ht="27.75" customHeight="1">
      <c r="A23" s="115"/>
      <c r="B23" s="119"/>
      <c r="C23" s="136"/>
      <c r="D23" s="132" t="s">
        <v>145</v>
      </c>
      <c r="E23" s="130" t="s">
        <v>104</v>
      </c>
      <c r="F23" s="130" t="s">
        <v>104</v>
      </c>
      <c r="G23" s="130" t="s">
        <v>104</v>
      </c>
      <c r="H23" s="116">
        <f>SUM(I23:U23)</f>
        <v>0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>
        <f>SUM(I23:U23)</f>
        <v>0</v>
      </c>
      <c r="W23" s="90"/>
    </row>
    <row r="24" spans="1:23" s="86" customFormat="1" ht="27.75" customHeight="1">
      <c r="A24" s="115"/>
      <c r="B24" s="119"/>
      <c r="C24" s="136"/>
      <c r="D24" s="129" t="s">
        <v>155</v>
      </c>
      <c r="E24" s="130" t="s">
        <v>104</v>
      </c>
      <c r="F24" s="130" t="s">
        <v>104</v>
      </c>
      <c r="G24" s="130" t="s">
        <v>104</v>
      </c>
      <c r="H24" s="116">
        <f>SUM(I24:U24)</f>
        <v>900000</v>
      </c>
      <c r="I24" s="116"/>
      <c r="J24" s="116"/>
      <c r="K24" s="116">
        <v>900000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>
        <f>SUM(I24:U24)</f>
        <v>900000</v>
      </c>
      <c r="W24" s="90"/>
    </row>
    <row r="25" spans="1:23" s="75" customFormat="1" ht="36.75" customHeight="1">
      <c r="A25" s="115"/>
      <c r="B25" s="119"/>
      <c r="C25" s="133" t="s">
        <v>158</v>
      </c>
      <c r="D25" s="134" t="s">
        <v>178</v>
      </c>
      <c r="E25" s="125" t="s">
        <v>104</v>
      </c>
      <c r="F25" s="125" t="s">
        <v>104</v>
      </c>
      <c r="G25" s="125" t="s">
        <v>104</v>
      </c>
      <c r="H25" s="126">
        <f>H26+H27</f>
        <v>800000</v>
      </c>
      <c r="I25" s="126">
        <f>I26+I27</f>
        <v>0</v>
      </c>
      <c r="J25" s="126">
        <f>J26+J27</f>
        <v>800000</v>
      </c>
      <c r="K25" s="126">
        <f>K26+K27</f>
        <v>0</v>
      </c>
      <c r="L25" s="126">
        <f>L26+L27</f>
        <v>0</v>
      </c>
      <c r="M25" s="126">
        <f>M26+M27</f>
        <v>0</v>
      </c>
      <c r="N25" s="126">
        <f>N26+N27</f>
        <v>0</v>
      </c>
      <c r="O25" s="126">
        <f>O26+O27</f>
        <v>0</v>
      </c>
      <c r="P25" s="126">
        <f>P26+P27</f>
        <v>0</v>
      </c>
      <c r="Q25" s="126">
        <f>Q26+Q27</f>
        <v>0</v>
      </c>
      <c r="R25" s="126">
        <f>R26+R27</f>
        <v>0</v>
      </c>
      <c r="S25" s="126">
        <f>S26+S27</f>
        <v>0</v>
      </c>
      <c r="T25" s="126">
        <f>T26+T27</f>
        <v>0</v>
      </c>
      <c r="U25" s="126">
        <f>U26+U27</f>
        <v>0</v>
      </c>
      <c r="V25" s="112">
        <f>SUM(I25:U25)</f>
        <v>800000</v>
      </c>
      <c r="W25" s="135"/>
    </row>
    <row r="26" spans="1:23" s="86" customFormat="1" ht="27.75" customHeight="1">
      <c r="A26" s="115"/>
      <c r="B26" s="119"/>
      <c r="C26" s="136"/>
      <c r="D26" s="132" t="s">
        <v>145</v>
      </c>
      <c r="E26" s="130" t="s">
        <v>104</v>
      </c>
      <c r="F26" s="130" t="s">
        <v>104</v>
      </c>
      <c r="G26" s="130" t="s">
        <v>104</v>
      </c>
      <c r="H26" s="116">
        <f>SUM(I26:U26)</f>
        <v>0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>
        <f>SUM(I26:U26)</f>
        <v>0</v>
      </c>
      <c r="W26" s="90"/>
    </row>
    <row r="27" spans="1:23" s="86" customFormat="1" ht="27.75" customHeight="1">
      <c r="A27" s="115"/>
      <c r="B27" s="119"/>
      <c r="C27" s="136"/>
      <c r="D27" s="129" t="s">
        <v>155</v>
      </c>
      <c r="E27" s="130" t="s">
        <v>104</v>
      </c>
      <c r="F27" s="130" t="s">
        <v>104</v>
      </c>
      <c r="G27" s="130" t="s">
        <v>104</v>
      </c>
      <c r="H27" s="116">
        <f>SUM(I27:U27)</f>
        <v>800000</v>
      </c>
      <c r="I27" s="116"/>
      <c r="J27" s="116">
        <v>800000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>
        <f>SUM(I27:U27)</f>
        <v>800000</v>
      </c>
      <c r="W27" s="90"/>
    </row>
    <row r="28" spans="1:23" s="75" customFormat="1" ht="45" customHeight="1">
      <c r="A28" s="115"/>
      <c r="B28" s="119"/>
      <c r="C28" s="133" t="s">
        <v>160</v>
      </c>
      <c r="D28" s="134" t="s">
        <v>179</v>
      </c>
      <c r="E28" s="125" t="s">
        <v>104</v>
      </c>
      <c r="F28" s="125" t="s">
        <v>104</v>
      </c>
      <c r="G28" s="125" t="s">
        <v>104</v>
      </c>
      <c r="H28" s="126">
        <f>H29+H30</f>
        <v>640000</v>
      </c>
      <c r="I28" s="126">
        <f>I29+I30</f>
        <v>0</v>
      </c>
      <c r="J28" s="126">
        <f>J29+J30</f>
        <v>320000</v>
      </c>
      <c r="K28" s="126">
        <f>K29+K30</f>
        <v>320000</v>
      </c>
      <c r="L28" s="126">
        <f>L29+L30</f>
        <v>0</v>
      </c>
      <c r="M28" s="126">
        <f>M29+M30</f>
        <v>0</v>
      </c>
      <c r="N28" s="126">
        <f>N29+N30</f>
        <v>0</v>
      </c>
      <c r="O28" s="126">
        <f>O29+O30</f>
        <v>0</v>
      </c>
      <c r="P28" s="126">
        <f>P29+P30</f>
        <v>0</v>
      </c>
      <c r="Q28" s="126">
        <f>Q29+Q30</f>
        <v>0</v>
      </c>
      <c r="R28" s="126">
        <f>R29+R30</f>
        <v>0</v>
      </c>
      <c r="S28" s="126">
        <f>S29+S30</f>
        <v>0</v>
      </c>
      <c r="T28" s="126">
        <f>T29+T30</f>
        <v>0</v>
      </c>
      <c r="U28" s="126">
        <f>U29+U30</f>
        <v>0</v>
      </c>
      <c r="V28" s="112">
        <f>SUM(I28:U28)</f>
        <v>640000</v>
      </c>
      <c r="W28" s="135"/>
    </row>
    <row r="29" spans="1:23" s="86" customFormat="1" ht="27.75" customHeight="1">
      <c r="A29" s="115"/>
      <c r="B29" s="119"/>
      <c r="C29" s="136"/>
      <c r="D29" s="132" t="s">
        <v>145</v>
      </c>
      <c r="E29" s="130" t="s">
        <v>104</v>
      </c>
      <c r="F29" s="130" t="s">
        <v>104</v>
      </c>
      <c r="G29" s="130" t="s">
        <v>104</v>
      </c>
      <c r="H29" s="116">
        <f>SUM(I29:U29)</f>
        <v>0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>
        <f>SUM(I29:U29)</f>
        <v>0</v>
      </c>
      <c r="W29" s="90"/>
    </row>
    <row r="30" spans="1:23" s="86" customFormat="1" ht="27.75" customHeight="1">
      <c r="A30" s="115"/>
      <c r="B30" s="119"/>
      <c r="C30" s="136"/>
      <c r="D30" s="129" t="s">
        <v>155</v>
      </c>
      <c r="E30" s="130" t="s">
        <v>104</v>
      </c>
      <c r="F30" s="130" t="s">
        <v>104</v>
      </c>
      <c r="G30" s="130" t="s">
        <v>104</v>
      </c>
      <c r="H30" s="116">
        <f>SUM(I30:U30)</f>
        <v>640000</v>
      </c>
      <c r="I30" s="116"/>
      <c r="J30" s="116">
        <v>320000</v>
      </c>
      <c r="K30" s="116">
        <v>320000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>
        <f>SUM(I30:U30)</f>
        <v>640000</v>
      </c>
      <c r="W30" s="90"/>
    </row>
    <row r="31" spans="1:23" s="75" customFormat="1" ht="62.25" customHeight="1">
      <c r="A31" s="115"/>
      <c r="B31" s="119"/>
      <c r="C31" s="133" t="s">
        <v>162</v>
      </c>
      <c r="D31" s="134" t="s">
        <v>180</v>
      </c>
      <c r="E31" s="125" t="s">
        <v>104</v>
      </c>
      <c r="F31" s="125" t="s">
        <v>104</v>
      </c>
      <c r="G31" s="125" t="s">
        <v>104</v>
      </c>
      <c r="H31" s="126">
        <f>H32+H33</f>
        <v>860000</v>
      </c>
      <c r="I31" s="126">
        <f>I32+I33</f>
        <v>0</v>
      </c>
      <c r="J31" s="126">
        <f>J32+J33</f>
        <v>60000</v>
      </c>
      <c r="K31" s="126">
        <f>K32+K33</f>
        <v>610000</v>
      </c>
      <c r="L31" s="126">
        <f>L32+L33</f>
        <v>190000</v>
      </c>
      <c r="M31" s="126">
        <f>M32+M33</f>
        <v>0</v>
      </c>
      <c r="N31" s="126">
        <f>N32+N33</f>
        <v>0</v>
      </c>
      <c r="O31" s="126">
        <f>O32+O33</f>
        <v>0</v>
      </c>
      <c r="P31" s="126">
        <f>P32+P33</f>
        <v>0</v>
      </c>
      <c r="Q31" s="126">
        <f>Q32+Q33</f>
        <v>0</v>
      </c>
      <c r="R31" s="126">
        <f>R32+R33</f>
        <v>0</v>
      </c>
      <c r="S31" s="126">
        <f>S32+S33</f>
        <v>0</v>
      </c>
      <c r="T31" s="126">
        <f>T32+T33</f>
        <v>0</v>
      </c>
      <c r="U31" s="126">
        <f>U32+U33</f>
        <v>0</v>
      </c>
      <c r="V31" s="112">
        <f>SUM(I31:U31)</f>
        <v>860000</v>
      </c>
      <c r="W31" s="135"/>
    </row>
    <row r="32" spans="1:23" s="86" customFormat="1" ht="27.75" customHeight="1">
      <c r="A32" s="115"/>
      <c r="B32" s="119"/>
      <c r="C32" s="136"/>
      <c r="D32" s="132" t="s">
        <v>145</v>
      </c>
      <c r="E32" s="130" t="s">
        <v>104</v>
      </c>
      <c r="F32" s="130" t="s">
        <v>104</v>
      </c>
      <c r="G32" s="130" t="s">
        <v>104</v>
      </c>
      <c r="H32" s="116">
        <f>SUM(I32:U32)</f>
        <v>0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>
        <f>SUM(I32:U32)</f>
        <v>0</v>
      </c>
      <c r="W32" s="90"/>
    </row>
    <row r="33" spans="1:23" s="86" customFormat="1" ht="27.75" customHeight="1">
      <c r="A33" s="115"/>
      <c r="B33" s="119"/>
      <c r="C33" s="136"/>
      <c r="D33" s="129" t="s">
        <v>155</v>
      </c>
      <c r="E33" s="130" t="s">
        <v>104</v>
      </c>
      <c r="F33" s="130" t="s">
        <v>104</v>
      </c>
      <c r="G33" s="130" t="s">
        <v>104</v>
      </c>
      <c r="H33" s="116">
        <f>SUM(I33:U33)</f>
        <v>860000</v>
      </c>
      <c r="I33" s="116"/>
      <c r="J33" s="116">
        <v>60000</v>
      </c>
      <c r="K33" s="116">
        <v>610000</v>
      </c>
      <c r="L33" s="116">
        <v>190000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>
        <f>SUM(I33:U33)</f>
        <v>860000</v>
      </c>
      <c r="W33" s="90"/>
    </row>
    <row r="34" spans="1:23" s="75" customFormat="1" ht="46.5" customHeight="1">
      <c r="A34" s="115"/>
      <c r="B34" s="119"/>
      <c r="C34" s="133" t="s">
        <v>181</v>
      </c>
      <c r="D34" s="134" t="s">
        <v>182</v>
      </c>
      <c r="E34" s="125" t="s">
        <v>104</v>
      </c>
      <c r="F34" s="125" t="s">
        <v>104</v>
      </c>
      <c r="G34" s="125" t="s">
        <v>104</v>
      </c>
      <c r="H34" s="126">
        <f>H35+H36</f>
        <v>900000</v>
      </c>
      <c r="I34" s="126">
        <f>I35+I36</f>
        <v>0</v>
      </c>
      <c r="J34" s="126">
        <f>J35+J36</f>
        <v>0</v>
      </c>
      <c r="K34" s="126">
        <f>K35+K36</f>
        <v>450000</v>
      </c>
      <c r="L34" s="126">
        <f>L35+L36</f>
        <v>450000</v>
      </c>
      <c r="M34" s="126">
        <f>M35+M36</f>
        <v>0</v>
      </c>
      <c r="N34" s="126">
        <f>N35+N36</f>
        <v>0</v>
      </c>
      <c r="O34" s="126">
        <f>O35+O36</f>
        <v>0</v>
      </c>
      <c r="P34" s="126">
        <f>P35+P36</f>
        <v>0</v>
      </c>
      <c r="Q34" s="126">
        <f>Q35+Q36</f>
        <v>0</v>
      </c>
      <c r="R34" s="126">
        <f>R35+R36</f>
        <v>0</v>
      </c>
      <c r="S34" s="126">
        <f>S35+S36</f>
        <v>0</v>
      </c>
      <c r="T34" s="126">
        <f>T35+T36</f>
        <v>0</v>
      </c>
      <c r="U34" s="126">
        <f>U35+U36</f>
        <v>0</v>
      </c>
      <c r="V34" s="112">
        <f>SUM(I34:U34)</f>
        <v>900000</v>
      </c>
      <c r="W34" s="135"/>
    </row>
    <row r="35" spans="1:23" s="86" customFormat="1" ht="27.75" customHeight="1">
      <c r="A35" s="115"/>
      <c r="B35" s="119"/>
      <c r="C35" s="136"/>
      <c r="D35" s="132" t="s">
        <v>145</v>
      </c>
      <c r="E35" s="130" t="s">
        <v>104</v>
      </c>
      <c r="F35" s="130" t="s">
        <v>104</v>
      </c>
      <c r="G35" s="130" t="s">
        <v>104</v>
      </c>
      <c r="H35" s="116">
        <f>SUM(I35:U35)</f>
        <v>0</v>
      </c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>
        <f>SUM(I35:U35)</f>
        <v>0</v>
      </c>
      <c r="W35" s="90"/>
    </row>
    <row r="36" spans="1:23" s="86" customFormat="1" ht="27.75" customHeight="1">
      <c r="A36" s="115"/>
      <c r="B36" s="119"/>
      <c r="C36" s="136"/>
      <c r="D36" s="129" t="s">
        <v>155</v>
      </c>
      <c r="E36" s="130" t="s">
        <v>104</v>
      </c>
      <c r="F36" s="130" t="s">
        <v>104</v>
      </c>
      <c r="G36" s="130" t="s">
        <v>104</v>
      </c>
      <c r="H36" s="116">
        <f>SUM(I36:U36)</f>
        <v>900000</v>
      </c>
      <c r="I36" s="116"/>
      <c r="J36" s="116"/>
      <c r="K36" s="116">
        <v>450000</v>
      </c>
      <c r="L36" s="116">
        <v>450000</v>
      </c>
      <c r="M36" s="116"/>
      <c r="N36" s="116"/>
      <c r="O36" s="116"/>
      <c r="P36" s="116"/>
      <c r="Q36" s="116"/>
      <c r="R36" s="116"/>
      <c r="S36" s="116"/>
      <c r="T36" s="116"/>
      <c r="U36" s="116"/>
      <c r="V36" s="116">
        <f>SUM(I36:U36)</f>
        <v>900000</v>
      </c>
      <c r="W36" s="90"/>
    </row>
    <row r="37" spans="1:23" s="75" customFormat="1" ht="27.75" customHeight="1">
      <c r="A37" s="115"/>
      <c r="B37" s="119"/>
      <c r="C37" s="133" t="s">
        <v>183</v>
      </c>
      <c r="D37" s="134" t="s">
        <v>184</v>
      </c>
      <c r="E37" s="125" t="s">
        <v>104</v>
      </c>
      <c r="F37" s="125" t="s">
        <v>104</v>
      </c>
      <c r="G37" s="125" t="s">
        <v>104</v>
      </c>
      <c r="H37" s="126">
        <f>H38+H39</f>
        <v>360000</v>
      </c>
      <c r="I37" s="126">
        <f>I38+I39</f>
        <v>0</v>
      </c>
      <c r="J37" s="126">
        <f>J38+J39</f>
        <v>0</v>
      </c>
      <c r="K37" s="126">
        <f>K38+K39</f>
        <v>360000</v>
      </c>
      <c r="L37" s="126">
        <f>L38+L39</f>
        <v>0</v>
      </c>
      <c r="M37" s="126">
        <f>M38+M39</f>
        <v>0</v>
      </c>
      <c r="N37" s="126">
        <f>N38+N39</f>
        <v>0</v>
      </c>
      <c r="O37" s="126">
        <f>O38+O39</f>
        <v>0</v>
      </c>
      <c r="P37" s="126">
        <f>P38+P39</f>
        <v>0</v>
      </c>
      <c r="Q37" s="126">
        <f>Q38+Q39</f>
        <v>0</v>
      </c>
      <c r="R37" s="126">
        <f>R38+R39</f>
        <v>0</v>
      </c>
      <c r="S37" s="126">
        <f>S38+S39</f>
        <v>0</v>
      </c>
      <c r="T37" s="126">
        <f>T38+T39</f>
        <v>0</v>
      </c>
      <c r="U37" s="126">
        <f>U38+U39</f>
        <v>0</v>
      </c>
      <c r="V37" s="112">
        <f>SUM(I37:U37)</f>
        <v>360000</v>
      </c>
      <c r="W37" s="135"/>
    </row>
    <row r="38" spans="1:23" s="86" customFormat="1" ht="27.75" customHeight="1">
      <c r="A38" s="115"/>
      <c r="B38" s="119"/>
      <c r="C38" s="136"/>
      <c r="D38" s="132" t="s">
        <v>145</v>
      </c>
      <c r="E38" s="130" t="s">
        <v>104</v>
      </c>
      <c r="F38" s="130" t="s">
        <v>104</v>
      </c>
      <c r="G38" s="130" t="s">
        <v>104</v>
      </c>
      <c r="H38" s="116">
        <f>SUM(I38:M38)</f>
        <v>0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>
        <f>SUM(I38:U38)</f>
        <v>0</v>
      </c>
      <c r="W38" s="90"/>
    </row>
    <row r="39" spans="1:23" s="86" customFormat="1" ht="27.75" customHeight="1">
      <c r="A39" s="115"/>
      <c r="B39" s="119"/>
      <c r="C39" s="136"/>
      <c r="D39" s="129" t="s">
        <v>155</v>
      </c>
      <c r="E39" s="130" t="s">
        <v>104</v>
      </c>
      <c r="F39" s="130" t="s">
        <v>104</v>
      </c>
      <c r="G39" s="130" t="s">
        <v>104</v>
      </c>
      <c r="H39" s="116">
        <f>SUM(I39:M39)</f>
        <v>360000</v>
      </c>
      <c r="I39" s="116"/>
      <c r="J39" s="116"/>
      <c r="K39" s="116">
        <v>360000</v>
      </c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>
        <f>SUM(I39:U39)</f>
        <v>360000</v>
      </c>
      <c r="W39" s="90"/>
    </row>
    <row r="40" spans="1:23" s="75" customFormat="1" ht="27.75" customHeight="1">
      <c r="A40" s="115"/>
      <c r="B40" s="119"/>
      <c r="C40" s="137" t="s">
        <v>185</v>
      </c>
      <c r="D40" s="134" t="s">
        <v>186</v>
      </c>
      <c r="E40" s="125" t="s">
        <v>104</v>
      </c>
      <c r="F40" s="125" t="s">
        <v>104</v>
      </c>
      <c r="G40" s="125" t="s">
        <v>104</v>
      </c>
      <c r="H40" s="126">
        <f>H41+H42</f>
        <v>500000</v>
      </c>
      <c r="I40" s="126">
        <f>I41+I42</f>
        <v>0</v>
      </c>
      <c r="J40" s="126">
        <f>J41+J42</f>
        <v>0</v>
      </c>
      <c r="K40" s="126">
        <f>K41+K42</f>
        <v>500000</v>
      </c>
      <c r="L40" s="126">
        <f>L41+L42</f>
        <v>0</v>
      </c>
      <c r="M40" s="126">
        <f>M41+M42</f>
        <v>0</v>
      </c>
      <c r="N40" s="126">
        <f>N41+N42</f>
        <v>0</v>
      </c>
      <c r="O40" s="126">
        <f>O41+O42</f>
        <v>0</v>
      </c>
      <c r="P40" s="126">
        <f>P41+P42</f>
        <v>0</v>
      </c>
      <c r="Q40" s="126">
        <f>Q41+Q42</f>
        <v>0</v>
      </c>
      <c r="R40" s="126">
        <f>R41+R42</f>
        <v>0</v>
      </c>
      <c r="S40" s="126">
        <f>S41+S42</f>
        <v>0</v>
      </c>
      <c r="T40" s="126">
        <f>T41+T42</f>
        <v>0</v>
      </c>
      <c r="U40" s="126">
        <f>U41+U42</f>
        <v>0</v>
      </c>
      <c r="V40" s="112">
        <f>SUM(I40:U40)</f>
        <v>500000</v>
      </c>
      <c r="W40" s="135"/>
    </row>
    <row r="41" spans="1:23" s="86" customFormat="1" ht="27.75" customHeight="1">
      <c r="A41" s="115"/>
      <c r="B41" s="119"/>
      <c r="C41" s="136"/>
      <c r="D41" s="132" t="s">
        <v>145</v>
      </c>
      <c r="E41" s="130" t="s">
        <v>104</v>
      </c>
      <c r="F41" s="130" t="s">
        <v>104</v>
      </c>
      <c r="G41" s="130" t="s">
        <v>104</v>
      </c>
      <c r="H41" s="116">
        <f>SUM(I41:M41)</f>
        <v>0</v>
      </c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>
        <f>SUM(I41:U41)</f>
        <v>0</v>
      </c>
      <c r="W41" s="90"/>
    </row>
    <row r="42" spans="1:23" s="86" customFormat="1" ht="27.75" customHeight="1">
      <c r="A42" s="115"/>
      <c r="B42" s="119"/>
      <c r="C42" s="136"/>
      <c r="D42" s="129" t="s">
        <v>155</v>
      </c>
      <c r="E42" s="130" t="s">
        <v>104</v>
      </c>
      <c r="F42" s="130" t="s">
        <v>104</v>
      </c>
      <c r="G42" s="130" t="s">
        <v>104</v>
      </c>
      <c r="H42" s="116">
        <f>SUM(I42:M42)</f>
        <v>500000</v>
      </c>
      <c r="I42" s="116"/>
      <c r="J42" s="116"/>
      <c r="K42" s="116">
        <v>500000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>
        <f>SUM(I42:U42)</f>
        <v>500000</v>
      </c>
      <c r="W42" s="90"/>
    </row>
    <row r="43" spans="1:23" s="138" customFormat="1" ht="19.5">
      <c r="A43" s="115"/>
      <c r="B43" s="119"/>
      <c r="C43" s="110" t="s">
        <v>158</v>
      </c>
      <c r="D43" s="124" t="s">
        <v>159</v>
      </c>
      <c r="E43" s="130" t="s">
        <v>104</v>
      </c>
      <c r="F43" s="130" t="s">
        <v>104</v>
      </c>
      <c r="G43" s="130" t="s">
        <v>104</v>
      </c>
      <c r="H43" s="126">
        <f>H46+H49+H52</f>
        <v>936047</v>
      </c>
      <c r="I43" s="126">
        <f>I46+I49+I52</f>
        <v>0</v>
      </c>
      <c r="J43" s="126">
        <f>J46+J49+J52+J55</f>
        <v>1311629</v>
      </c>
      <c r="K43" s="126">
        <f>K46+K49+K52+K55</f>
        <v>780702</v>
      </c>
      <c r="L43" s="126">
        <f>L46+L49+L52+L55</f>
        <v>0</v>
      </c>
      <c r="M43" s="126">
        <f>M46+M49+M52+M55</f>
        <v>0</v>
      </c>
      <c r="N43" s="126">
        <f>N46+N49+N52+N55</f>
        <v>0</v>
      </c>
      <c r="O43" s="126">
        <f>O46+O49+O52+O55</f>
        <v>0</v>
      </c>
      <c r="P43" s="126">
        <f>P46+P49+P52+P55</f>
        <v>0</v>
      </c>
      <c r="Q43" s="126">
        <f>Q46+Q49+Q52</f>
        <v>0</v>
      </c>
      <c r="R43" s="126">
        <f>R46+R49+R52</f>
        <v>0</v>
      </c>
      <c r="S43" s="126">
        <f>S46+S49+S52</f>
        <v>0</v>
      </c>
      <c r="T43" s="126">
        <f>T46+T49+T52</f>
        <v>0</v>
      </c>
      <c r="U43" s="126">
        <f>U46+U49+U52</f>
        <v>0</v>
      </c>
      <c r="V43" s="116">
        <f>SUM(I43:U43)</f>
        <v>2092331</v>
      </c>
      <c r="W43" s="127"/>
    </row>
    <row r="44" spans="1:23" s="86" customFormat="1" ht="27.75" customHeight="1">
      <c r="A44" s="115"/>
      <c r="B44" s="119"/>
      <c r="C44" s="139"/>
      <c r="D44" s="132" t="s">
        <v>145</v>
      </c>
      <c r="E44" s="130" t="s">
        <v>104</v>
      </c>
      <c r="F44" s="130" t="s">
        <v>104</v>
      </c>
      <c r="G44" s="130" t="s">
        <v>104</v>
      </c>
      <c r="H44" s="140">
        <f>H47+H50+H53</f>
        <v>0</v>
      </c>
      <c r="I44" s="140">
        <f>I50+I47+I53+I56</f>
        <v>0</v>
      </c>
      <c r="J44" s="140">
        <f>J50+J47+J53+J56</f>
        <v>0</v>
      </c>
      <c r="K44" s="140">
        <f>K50+K47+K53+K56</f>
        <v>0</v>
      </c>
      <c r="L44" s="140">
        <f>L50+L47+L53+L56</f>
        <v>0</v>
      </c>
      <c r="M44" s="140">
        <f>M50+M47+M53+M56</f>
        <v>0</v>
      </c>
      <c r="N44" s="140">
        <f>N50+N47+N53+N56</f>
        <v>0</v>
      </c>
      <c r="O44" s="140">
        <f>O50+O47+O53+O56</f>
        <v>0</v>
      </c>
      <c r="P44" s="140">
        <f>P50+P47+P53+P56</f>
        <v>0</v>
      </c>
      <c r="Q44" s="140">
        <f>Q50+Q47+Q53+Q56</f>
        <v>0</v>
      </c>
      <c r="R44" s="140">
        <f>R50+R47+R53+R56</f>
        <v>0</v>
      </c>
      <c r="S44" s="140">
        <f>S50+S47+S53+S56</f>
        <v>0</v>
      </c>
      <c r="T44" s="140">
        <f>T50+T47+T53+T56</f>
        <v>0</v>
      </c>
      <c r="U44" s="140">
        <f>U50+U47+U53+U56</f>
        <v>0</v>
      </c>
      <c r="V44" s="116">
        <f>SUM(I44:U44)</f>
        <v>0</v>
      </c>
      <c r="W44" s="141"/>
    </row>
    <row r="45" spans="1:23" s="86" customFormat="1" ht="27.75" customHeight="1">
      <c r="A45" s="115"/>
      <c r="B45" s="119"/>
      <c r="C45" s="139"/>
      <c r="D45" s="129" t="s">
        <v>155</v>
      </c>
      <c r="E45" s="130" t="s">
        <v>104</v>
      </c>
      <c r="F45" s="130" t="s">
        <v>104</v>
      </c>
      <c r="G45" s="130" t="s">
        <v>104</v>
      </c>
      <c r="H45" s="140">
        <f>H48+H51+H54</f>
        <v>936047</v>
      </c>
      <c r="I45" s="140">
        <f>I51+I48+I54+I57</f>
        <v>0</v>
      </c>
      <c r="J45" s="140">
        <f>J51+J48+J54+J57</f>
        <v>1311629</v>
      </c>
      <c r="K45" s="140">
        <f>K51+K48+K54+K57</f>
        <v>780702</v>
      </c>
      <c r="L45" s="140">
        <f>L51+L48+L54+L57</f>
        <v>0</v>
      </c>
      <c r="M45" s="140">
        <f>M51+M48+M54+M57</f>
        <v>0</v>
      </c>
      <c r="N45" s="140">
        <f>N51+N48+N54+N57</f>
        <v>0</v>
      </c>
      <c r="O45" s="140">
        <f>O51+O48+O54+O57</f>
        <v>0</v>
      </c>
      <c r="P45" s="140">
        <f>P51+P48+P54+P57</f>
        <v>0</v>
      </c>
      <c r="Q45" s="140">
        <f>Q51+Q48+Q54+Q57</f>
        <v>0</v>
      </c>
      <c r="R45" s="140">
        <f>R51+R48+R54+R57</f>
        <v>0</v>
      </c>
      <c r="S45" s="140">
        <f>S51+S48+S54+S57</f>
        <v>0</v>
      </c>
      <c r="T45" s="140">
        <f>T51+T48+T54+T57</f>
        <v>0</v>
      </c>
      <c r="U45" s="140">
        <f>U51+U48+U54+U57</f>
        <v>0</v>
      </c>
      <c r="V45" s="116">
        <f>SUM(I45:U45)</f>
        <v>2092331</v>
      </c>
      <c r="W45" s="141"/>
    </row>
    <row r="46" spans="1:23" s="75" customFormat="1" ht="36.75">
      <c r="A46" s="115"/>
      <c r="B46" s="119"/>
      <c r="C46" s="110" t="s">
        <v>187</v>
      </c>
      <c r="D46" s="134" t="s">
        <v>188</v>
      </c>
      <c r="E46" s="125" t="s">
        <v>104</v>
      </c>
      <c r="F46" s="125" t="s">
        <v>104</v>
      </c>
      <c r="G46" s="125" t="s">
        <v>104</v>
      </c>
      <c r="H46" s="126">
        <f>H47+H48</f>
        <v>336557</v>
      </c>
      <c r="I46" s="126">
        <f>I47+I48</f>
        <v>0</v>
      </c>
      <c r="J46" s="126">
        <f>J47+J48</f>
        <v>336557</v>
      </c>
      <c r="K46" s="126">
        <f>K47+K48</f>
        <v>0</v>
      </c>
      <c r="L46" s="126">
        <f>L47+L48</f>
        <v>0</v>
      </c>
      <c r="M46" s="126">
        <f>M47+M48</f>
        <v>0</v>
      </c>
      <c r="N46" s="126"/>
      <c r="O46" s="126"/>
      <c r="P46" s="126"/>
      <c r="Q46" s="126"/>
      <c r="R46" s="126"/>
      <c r="S46" s="126"/>
      <c r="T46" s="126"/>
      <c r="U46" s="126"/>
      <c r="V46" s="112">
        <f>SUM(I46:U46)</f>
        <v>336557</v>
      </c>
      <c r="W46" s="85"/>
    </row>
    <row r="47" spans="1:23" s="86" customFormat="1" ht="27.75" customHeight="1">
      <c r="A47" s="115"/>
      <c r="B47" s="119"/>
      <c r="C47" s="110"/>
      <c r="D47" s="132" t="s">
        <v>145</v>
      </c>
      <c r="E47" s="130" t="s">
        <v>104</v>
      </c>
      <c r="F47" s="130" t="s">
        <v>104</v>
      </c>
      <c r="G47" s="130" t="s">
        <v>104</v>
      </c>
      <c r="H47" s="116">
        <f>SUM(I47:M47)</f>
        <v>0</v>
      </c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>
        <f>SUM(I47:U47)</f>
        <v>0</v>
      </c>
      <c r="W47" s="85"/>
    </row>
    <row r="48" spans="1:23" s="86" customFormat="1" ht="27.75" customHeight="1">
      <c r="A48" s="115"/>
      <c r="B48" s="119"/>
      <c r="C48" s="110"/>
      <c r="D48" s="129" t="s">
        <v>155</v>
      </c>
      <c r="E48" s="130" t="s">
        <v>104</v>
      </c>
      <c r="F48" s="130" t="s">
        <v>104</v>
      </c>
      <c r="G48" s="130" t="s">
        <v>104</v>
      </c>
      <c r="H48" s="116">
        <f>SUM(I48:M48)</f>
        <v>336557</v>
      </c>
      <c r="I48" s="116"/>
      <c r="J48" s="116">
        <v>336557</v>
      </c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>
        <f>SUM(I48:U48)</f>
        <v>336557</v>
      </c>
      <c r="W48" s="85"/>
    </row>
    <row r="49" spans="1:23" s="75" customFormat="1" ht="81" customHeight="1">
      <c r="A49" s="115"/>
      <c r="B49" s="119"/>
      <c r="C49" s="110" t="s">
        <v>189</v>
      </c>
      <c r="D49" s="142" t="s">
        <v>190</v>
      </c>
      <c r="E49" s="125" t="s">
        <v>104</v>
      </c>
      <c r="F49" s="125" t="s">
        <v>104</v>
      </c>
      <c r="G49" s="125" t="s">
        <v>104</v>
      </c>
      <c r="H49" s="126">
        <f>H50+H51</f>
        <v>374490</v>
      </c>
      <c r="I49" s="126">
        <f>I50+I51</f>
        <v>0</v>
      </c>
      <c r="J49" s="126">
        <f>J50+J51</f>
        <v>374490</v>
      </c>
      <c r="K49" s="126">
        <f>K50+K51</f>
        <v>0</v>
      </c>
      <c r="L49" s="126">
        <f>L50+L51</f>
        <v>0</v>
      </c>
      <c r="M49" s="126">
        <f>M50+M51</f>
        <v>0</v>
      </c>
      <c r="N49" s="126"/>
      <c r="O49" s="126"/>
      <c r="P49" s="126"/>
      <c r="Q49" s="126"/>
      <c r="R49" s="126"/>
      <c r="S49" s="126"/>
      <c r="T49" s="126"/>
      <c r="U49" s="126"/>
      <c r="V49" s="112">
        <f>SUM(I49:U49)</f>
        <v>374490</v>
      </c>
      <c r="W49" s="85"/>
    </row>
    <row r="50" spans="1:23" s="86" customFormat="1" ht="27.75" customHeight="1">
      <c r="A50" s="115"/>
      <c r="B50" s="119"/>
      <c r="C50" s="129"/>
      <c r="D50" s="132" t="s">
        <v>145</v>
      </c>
      <c r="E50" s="130" t="s">
        <v>104</v>
      </c>
      <c r="F50" s="130" t="s">
        <v>104</v>
      </c>
      <c r="G50" s="130" t="s">
        <v>104</v>
      </c>
      <c r="H50" s="116">
        <f>SUM(I50:M50)</f>
        <v>0</v>
      </c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>
        <f>SUM(I50:U50)</f>
        <v>0</v>
      </c>
      <c r="W50" s="90"/>
    </row>
    <row r="51" spans="1:23" s="86" customFormat="1" ht="27.75" customHeight="1">
      <c r="A51" s="115"/>
      <c r="B51" s="119"/>
      <c r="C51" s="129"/>
      <c r="D51" s="129" t="s">
        <v>155</v>
      </c>
      <c r="E51" s="130" t="s">
        <v>104</v>
      </c>
      <c r="F51" s="130" t="s">
        <v>104</v>
      </c>
      <c r="G51" s="130" t="s">
        <v>104</v>
      </c>
      <c r="H51" s="116">
        <f>SUM(I51:M51)</f>
        <v>374490</v>
      </c>
      <c r="I51" s="116"/>
      <c r="J51" s="116">
        <v>374490</v>
      </c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>
        <f>SUM(I51:U51)</f>
        <v>374490</v>
      </c>
      <c r="W51" s="90"/>
    </row>
    <row r="52" spans="1:23" s="75" customFormat="1" ht="46.5" customHeight="1">
      <c r="A52" s="115"/>
      <c r="B52" s="119"/>
      <c r="C52" s="110" t="s">
        <v>191</v>
      </c>
      <c r="D52" s="142" t="s">
        <v>192</v>
      </c>
      <c r="E52" s="125" t="s">
        <v>104</v>
      </c>
      <c r="F52" s="125" t="s">
        <v>104</v>
      </c>
      <c r="G52" s="125" t="s">
        <v>104</v>
      </c>
      <c r="H52" s="126">
        <f>H53+H54</f>
        <v>225000</v>
      </c>
      <c r="I52" s="126">
        <f>I53+I54</f>
        <v>0</v>
      </c>
      <c r="J52" s="126">
        <f>J53+J54</f>
        <v>50000</v>
      </c>
      <c r="K52" s="126">
        <f>K53+K54</f>
        <v>175000</v>
      </c>
      <c r="L52" s="126">
        <f>L53+L54</f>
        <v>0</v>
      </c>
      <c r="M52" s="126">
        <f>M53+M54</f>
        <v>0</v>
      </c>
      <c r="N52" s="126"/>
      <c r="O52" s="126"/>
      <c r="P52" s="126"/>
      <c r="Q52" s="126"/>
      <c r="R52" s="126"/>
      <c r="S52" s="126"/>
      <c r="T52" s="126"/>
      <c r="U52" s="126"/>
      <c r="V52" s="112">
        <f>SUM(I52:U52)</f>
        <v>225000</v>
      </c>
      <c r="W52" s="135"/>
    </row>
    <row r="53" spans="1:23" s="86" customFormat="1" ht="27.75" customHeight="1">
      <c r="A53" s="115"/>
      <c r="B53" s="119"/>
      <c r="C53" s="129"/>
      <c r="D53" s="132" t="s">
        <v>145</v>
      </c>
      <c r="E53" s="130" t="s">
        <v>104</v>
      </c>
      <c r="F53" s="130" t="s">
        <v>104</v>
      </c>
      <c r="G53" s="130" t="s">
        <v>104</v>
      </c>
      <c r="H53" s="116">
        <f>SUM(I53:M53)</f>
        <v>0</v>
      </c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>
        <f>SUM(I53:U53)</f>
        <v>0</v>
      </c>
      <c r="W53" s="90"/>
    </row>
    <row r="54" spans="1:23" s="86" customFormat="1" ht="27.75" customHeight="1">
      <c r="A54" s="115"/>
      <c r="B54" s="119"/>
      <c r="C54" s="129"/>
      <c r="D54" s="129" t="s">
        <v>155</v>
      </c>
      <c r="E54" s="130" t="s">
        <v>104</v>
      </c>
      <c r="F54" s="130" t="s">
        <v>104</v>
      </c>
      <c r="G54" s="130" t="s">
        <v>104</v>
      </c>
      <c r="H54" s="116">
        <f>SUM(I54:M54)</f>
        <v>225000</v>
      </c>
      <c r="I54" s="116"/>
      <c r="J54" s="116">
        <v>50000</v>
      </c>
      <c r="K54" s="116">
        <v>175000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>
        <f>SUM(I54:U54)</f>
        <v>225000</v>
      </c>
      <c r="W54" s="90"/>
    </row>
    <row r="55" spans="1:23" s="75" customFormat="1" ht="46.5" customHeight="1">
      <c r="A55" s="115"/>
      <c r="B55" s="119"/>
      <c r="C55" s="110" t="s">
        <v>193</v>
      </c>
      <c r="D55" s="142" t="s">
        <v>194</v>
      </c>
      <c r="E55" s="125" t="s">
        <v>104</v>
      </c>
      <c r="F55" s="125" t="s">
        <v>104</v>
      </c>
      <c r="G55" s="125" t="s">
        <v>104</v>
      </c>
      <c r="H55" s="126">
        <f>H56+H57</f>
        <v>1156284</v>
      </c>
      <c r="I55" s="126">
        <f>I56+I57</f>
        <v>0</v>
      </c>
      <c r="J55" s="126">
        <f>J56+J57</f>
        <v>550582</v>
      </c>
      <c r="K55" s="126">
        <f>K56+K57</f>
        <v>605702</v>
      </c>
      <c r="L55" s="126">
        <f>L56+L57</f>
        <v>0</v>
      </c>
      <c r="M55" s="126">
        <f>M56+M57</f>
        <v>0</v>
      </c>
      <c r="N55" s="126"/>
      <c r="O55" s="112"/>
      <c r="P55" s="112"/>
      <c r="Q55" s="112"/>
      <c r="R55" s="112"/>
      <c r="S55" s="112"/>
      <c r="T55" s="112"/>
      <c r="U55" s="112"/>
      <c r="V55" s="112">
        <f>SUM(I55:U55)</f>
        <v>1156284</v>
      </c>
      <c r="W55" s="135"/>
    </row>
    <row r="56" spans="1:23" s="86" customFormat="1" ht="27.75" customHeight="1">
      <c r="A56" s="115"/>
      <c r="B56" s="119"/>
      <c r="C56" s="129"/>
      <c r="D56" s="132" t="s">
        <v>145</v>
      </c>
      <c r="E56" s="130" t="s">
        <v>104</v>
      </c>
      <c r="F56" s="130" t="s">
        <v>104</v>
      </c>
      <c r="G56" s="130" t="s">
        <v>104</v>
      </c>
      <c r="H56" s="116">
        <f>SUM(I56:M56)</f>
        <v>0</v>
      </c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>
        <f>SUM(I56:U56)</f>
        <v>0</v>
      </c>
      <c r="W56" s="90"/>
    </row>
    <row r="57" spans="1:23" s="86" customFormat="1" ht="27.75" customHeight="1">
      <c r="A57" s="115"/>
      <c r="B57" s="119"/>
      <c r="C57" s="129"/>
      <c r="D57" s="129" t="s">
        <v>155</v>
      </c>
      <c r="E57" s="130" t="s">
        <v>104</v>
      </c>
      <c r="F57" s="130" t="s">
        <v>104</v>
      </c>
      <c r="G57" s="130" t="s">
        <v>104</v>
      </c>
      <c r="H57" s="116">
        <f>SUM(I57:M57)</f>
        <v>1156284</v>
      </c>
      <c r="I57" s="116"/>
      <c r="J57" s="116">
        <v>550582</v>
      </c>
      <c r="K57" s="116">
        <v>605702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>
        <f>SUM(I57:U57)</f>
        <v>1156284</v>
      </c>
      <c r="W57" s="90"/>
    </row>
    <row r="58" spans="1:23" s="128" customFormat="1" ht="81.75" customHeight="1">
      <c r="A58" s="115"/>
      <c r="B58" s="119"/>
      <c r="C58" s="119" t="s">
        <v>160</v>
      </c>
      <c r="D58" s="109" t="s">
        <v>161</v>
      </c>
      <c r="E58" s="125" t="s">
        <v>150</v>
      </c>
      <c r="F58" s="125"/>
      <c r="G58" s="125"/>
      <c r="H58" s="126">
        <f>H59+H60</f>
        <v>3365990</v>
      </c>
      <c r="I58" s="126">
        <f>I59+I60</f>
        <v>0</v>
      </c>
      <c r="J58" s="126">
        <f>J59+J60</f>
        <v>900000</v>
      </c>
      <c r="K58" s="126">
        <f>K59+K60</f>
        <v>2465990</v>
      </c>
      <c r="L58" s="126">
        <f>L59+L60</f>
        <v>0</v>
      </c>
      <c r="M58" s="126">
        <f>M59+M60</f>
        <v>0</v>
      </c>
      <c r="N58" s="126">
        <f>N59+N60</f>
        <v>0</v>
      </c>
      <c r="O58" s="126">
        <f>O59+O60</f>
        <v>0</v>
      </c>
      <c r="P58" s="126">
        <f>P59+P60</f>
        <v>0</v>
      </c>
      <c r="Q58" s="126">
        <f>Q59+Q60</f>
        <v>0</v>
      </c>
      <c r="R58" s="126">
        <f>R59+R60</f>
        <v>0</v>
      </c>
      <c r="S58" s="126">
        <f>S59+S60</f>
        <v>0</v>
      </c>
      <c r="T58" s="126">
        <f>T59+T60</f>
        <v>0</v>
      </c>
      <c r="U58" s="126">
        <f>U59+U60</f>
        <v>0</v>
      </c>
      <c r="V58" s="112">
        <f>SUM(I58:U58)</f>
        <v>3365990</v>
      </c>
      <c r="W58" s="127"/>
    </row>
    <row r="59" spans="1:23" s="86" customFormat="1" ht="27.75" customHeight="1">
      <c r="A59" s="115"/>
      <c r="B59" s="119"/>
      <c r="C59" s="129"/>
      <c r="D59" s="132" t="s">
        <v>145</v>
      </c>
      <c r="E59" s="130" t="s">
        <v>104</v>
      </c>
      <c r="F59" s="130" t="s">
        <v>104</v>
      </c>
      <c r="G59" s="130" t="s">
        <v>104</v>
      </c>
      <c r="H59" s="116">
        <f>SUM(I59:M59)</f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>
        <f>SUM(I59:U59)</f>
        <v>0</v>
      </c>
      <c r="W59" s="90"/>
    </row>
    <row r="60" spans="1:23" s="86" customFormat="1" ht="27.75" customHeight="1">
      <c r="A60" s="115"/>
      <c r="B60" s="119"/>
      <c r="C60" s="129"/>
      <c r="D60" s="129" t="s">
        <v>155</v>
      </c>
      <c r="E60" s="130" t="s">
        <v>104</v>
      </c>
      <c r="F60" s="130" t="s">
        <v>104</v>
      </c>
      <c r="G60" s="130" t="s">
        <v>104</v>
      </c>
      <c r="H60" s="116">
        <f>SUM(I60:M60)</f>
        <v>3365990</v>
      </c>
      <c r="I60" s="116"/>
      <c r="J60" s="116">
        <v>900000</v>
      </c>
      <c r="K60" s="116">
        <v>2465990</v>
      </c>
      <c r="L60" s="143"/>
      <c r="M60" s="116"/>
      <c r="N60" s="116"/>
      <c r="O60" s="116"/>
      <c r="P60" s="116"/>
      <c r="Q60" s="116"/>
      <c r="R60" s="116"/>
      <c r="S60" s="116"/>
      <c r="T60" s="116"/>
      <c r="U60" s="116"/>
      <c r="V60" s="116">
        <f>SUM(I60:U60)</f>
        <v>3365990</v>
      </c>
      <c r="W60" s="90"/>
    </row>
    <row r="61" spans="1:23" s="145" customFormat="1" ht="79.5" customHeight="1">
      <c r="A61" s="115"/>
      <c r="B61" s="119"/>
      <c r="C61" s="119" t="s">
        <v>162</v>
      </c>
      <c r="D61" s="134" t="s">
        <v>163</v>
      </c>
      <c r="E61" s="125" t="s">
        <v>150</v>
      </c>
      <c r="F61" s="144"/>
      <c r="G61" s="144"/>
      <c r="H61" s="126">
        <f>H62+H63</f>
        <v>2100000</v>
      </c>
      <c r="I61" s="126">
        <f>I62+I63</f>
        <v>800000</v>
      </c>
      <c r="J61" s="126">
        <f>J62+J63</f>
        <v>1300000</v>
      </c>
      <c r="K61" s="126">
        <f>K62+K63</f>
        <v>0</v>
      </c>
      <c r="L61" s="126">
        <f>L62+L63</f>
        <v>0</v>
      </c>
      <c r="M61" s="126">
        <f>M62+M63</f>
        <v>0</v>
      </c>
      <c r="N61" s="126">
        <f>N62+N63</f>
        <v>0</v>
      </c>
      <c r="O61" s="126">
        <f>O62+O63</f>
        <v>0</v>
      </c>
      <c r="P61" s="126">
        <f>P62+P63</f>
        <v>0</v>
      </c>
      <c r="Q61" s="126">
        <f>Q62+Q63</f>
        <v>0</v>
      </c>
      <c r="R61" s="126">
        <f>R62+R63</f>
        <v>0</v>
      </c>
      <c r="S61" s="126">
        <f>S62+S63</f>
        <v>0</v>
      </c>
      <c r="T61" s="126">
        <f>T62+T63</f>
        <v>0</v>
      </c>
      <c r="U61" s="126">
        <f>U62+U63</f>
        <v>0</v>
      </c>
      <c r="V61" s="112">
        <f>SUM(I61:U61)</f>
        <v>2100000</v>
      </c>
      <c r="W61" s="127"/>
    </row>
    <row r="62" spans="1:23" s="86" customFormat="1" ht="27.75" customHeight="1">
      <c r="A62" s="115"/>
      <c r="B62" s="119"/>
      <c r="C62" s="129"/>
      <c r="D62" s="132" t="s">
        <v>145</v>
      </c>
      <c r="E62" s="130" t="s">
        <v>104</v>
      </c>
      <c r="F62" s="130" t="s">
        <v>104</v>
      </c>
      <c r="G62" s="130" t="s">
        <v>104</v>
      </c>
      <c r="H62" s="116">
        <f>SUM(I62:M62)</f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>
        <f>SUM(I62:U62)</f>
        <v>0</v>
      </c>
      <c r="W62" s="90"/>
    </row>
    <row r="63" spans="1:23" s="86" customFormat="1" ht="27.75" customHeight="1">
      <c r="A63" s="115"/>
      <c r="B63" s="119"/>
      <c r="C63" s="129"/>
      <c r="D63" s="129" t="s">
        <v>155</v>
      </c>
      <c r="E63" s="130" t="s">
        <v>104</v>
      </c>
      <c r="F63" s="130" t="s">
        <v>104</v>
      </c>
      <c r="G63" s="130" t="s">
        <v>104</v>
      </c>
      <c r="H63" s="116">
        <f>SUM(I63:M63)</f>
        <v>2100000</v>
      </c>
      <c r="I63" s="116">
        <v>800000</v>
      </c>
      <c r="J63" s="116">
        <v>1300000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>
        <f>SUM(I63:U63)</f>
        <v>2100000</v>
      </c>
      <c r="W63" s="90"/>
    </row>
    <row r="64" spans="1:23" s="82" customFormat="1" ht="12.75" customHeight="1" hidden="1">
      <c r="A64" s="115"/>
      <c r="B64" s="119" t="s">
        <v>164</v>
      </c>
      <c r="C64" s="120" t="s">
        <v>165</v>
      </c>
      <c r="D64" s="120"/>
      <c r="E64" s="130" t="s">
        <v>104</v>
      </c>
      <c r="F64" s="130" t="s">
        <v>104</v>
      </c>
      <c r="G64" s="130" t="s">
        <v>104</v>
      </c>
      <c r="H64" s="126">
        <f>H65+H66</f>
        <v>0</v>
      </c>
      <c r="I64" s="126">
        <f>I65+I66</f>
        <v>0</v>
      </c>
      <c r="J64" s="126">
        <f>J65+J66</f>
        <v>0</v>
      </c>
      <c r="K64" s="126">
        <f>K65+K66</f>
        <v>0</v>
      </c>
      <c r="L64" s="126">
        <f>L65+L66</f>
        <v>0</v>
      </c>
      <c r="M64" s="126">
        <f>M65+M66</f>
        <v>0</v>
      </c>
      <c r="N64" s="126"/>
      <c r="O64" s="126"/>
      <c r="P64" s="126"/>
      <c r="Q64" s="126"/>
      <c r="R64" s="126"/>
      <c r="S64" s="126"/>
      <c r="T64" s="126"/>
      <c r="U64" s="126"/>
      <c r="V64" s="116">
        <f>SUM(I64:U64)</f>
        <v>0</v>
      </c>
      <c r="W64" s="85"/>
    </row>
    <row r="65" spans="1:23" s="75" customFormat="1" ht="12.75" customHeight="1" hidden="1">
      <c r="A65" s="115"/>
      <c r="B65" s="119"/>
      <c r="C65" s="109" t="s">
        <v>145</v>
      </c>
      <c r="D65" s="109"/>
      <c r="E65" s="130" t="s">
        <v>104</v>
      </c>
      <c r="F65" s="130" t="s">
        <v>104</v>
      </c>
      <c r="G65" s="130" t="s">
        <v>104</v>
      </c>
      <c r="H65" s="111">
        <f>H69+H72</f>
        <v>0</v>
      </c>
      <c r="I65" s="111">
        <f>I69+I72</f>
        <v>0</v>
      </c>
      <c r="J65" s="111">
        <f>J69+J72</f>
        <v>0</v>
      </c>
      <c r="K65" s="111">
        <f>K69+K72</f>
        <v>0</v>
      </c>
      <c r="L65" s="111">
        <f>L69+L72</f>
        <v>0</v>
      </c>
      <c r="M65" s="111">
        <f>M69+M72</f>
        <v>0</v>
      </c>
      <c r="N65" s="111"/>
      <c r="O65" s="111"/>
      <c r="P65" s="111"/>
      <c r="Q65" s="111"/>
      <c r="R65" s="111"/>
      <c r="S65" s="111"/>
      <c r="T65" s="111"/>
      <c r="U65" s="111"/>
      <c r="V65" s="116">
        <f>SUM(I65:U65)</f>
        <v>0</v>
      </c>
      <c r="W65" s="90"/>
    </row>
    <row r="66" spans="1:23" s="75" customFormat="1" ht="12.75" customHeight="1" hidden="1">
      <c r="A66" s="115"/>
      <c r="B66" s="119"/>
      <c r="C66" s="109" t="s">
        <v>146</v>
      </c>
      <c r="D66" s="109"/>
      <c r="E66" s="130" t="s">
        <v>104</v>
      </c>
      <c r="F66" s="130" t="s">
        <v>104</v>
      </c>
      <c r="G66" s="130" t="s">
        <v>104</v>
      </c>
      <c r="H66" s="111">
        <f>H70+H73</f>
        <v>0</v>
      </c>
      <c r="I66" s="111">
        <f>I70+I73</f>
        <v>0</v>
      </c>
      <c r="J66" s="111">
        <f>J70+J73</f>
        <v>0</v>
      </c>
      <c r="K66" s="111">
        <f>K70+K73</f>
        <v>0</v>
      </c>
      <c r="L66" s="111">
        <f>L70+L73</f>
        <v>0</v>
      </c>
      <c r="M66" s="111">
        <f>M70+M73</f>
        <v>0</v>
      </c>
      <c r="N66" s="111"/>
      <c r="O66" s="111"/>
      <c r="P66" s="111"/>
      <c r="Q66" s="111"/>
      <c r="R66" s="111"/>
      <c r="S66" s="111"/>
      <c r="T66" s="111"/>
      <c r="U66" s="111"/>
      <c r="V66" s="116">
        <f>SUM(I66:U66)</f>
        <v>0</v>
      </c>
      <c r="W66" s="90"/>
    </row>
    <row r="67" spans="1:23" s="60" customFormat="1" ht="12.75" customHeight="1" hidden="1">
      <c r="A67" s="115"/>
      <c r="B67" s="119"/>
      <c r="C67" s="115" t="s">
        <v>152</v>
      </c>
      <c r="D67" s="115"/>
      <c r="E67" s="130" t="s">
        <v>104</v>
      </c>
      <c r="F67" s="130" t="s">
        <v>104</v>
      </c>
      <c r="G67" s="130" t="s">
        <v>104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6">
        <f>SUM(I67:U67)</f>
        <v>0</v>
      </c>
      <c r="W67" s="78"/>
    </row>
    <row r="68" spans="1:23" ht="12.75" customHeight="1" hidden="1">
      <c r="A68" s="115"/>
      <c r="B68" s="119"/>
      <c r="C68" s="119" t="s">
        <v>153</v>
      </c>
      <c r="D68" s="134" t="s">
        <v>166</v>
      </c>
      <c r="E68" s="130" t="s">
        <v>104</v>
      </c>
      <c r="F68" s="130" t="s">
        <v>104</v>
      </c>
      <c r="G68" s="130" t="s">
        <v>104</v>
      </c>
      <c r="H68" s="126">
        <f>H69+H70</f>
        <v>0</v>
      </c>
      <c r="I68" s="126">
        <f>I69+I70</f>
        <v>0</v>
      </c>
      <c r="J68" s="126">
        <f>J69+J70</f>
        <v>0</v>
      </c>
      <c r="K68" s="126">
        <f>K69+K70</f>
        <v>0</v>
      </c>
      <c r="L68" s="126">
        <f>L69+L70</f>
        <v>0</v>
      </c>
      <c r="M68" s="126">
        <f>M69+M70</f>
        <v>0</v>
      </c>
      <c r="N68" s="126"/>
      <c r="O68" s="126"/>
      <c r="P68" s="126"/>
      <c r="Q68" s="126"/>
      <c r="R68" s="126"/>
      <c r="S68" s="126"/>
      <c r="T68" s="126"/>
      <c r="U68" s="126"/>
      <c r="V68" s="116">
        <f>SUM(I68:U68)</f>
        <v>0</v>
      </c>
      <c r="W68" s="85"/>
    </row>
    <row r="69" spans="1:23" s="95" customFormat="1" ht="12.75" customHeight="1" hidden="1">
      <c r="A69" s="115"/>
      <c r="B69" s="119"/>
      <c r="C69" s="129"/>
      <c r="D69" s="132" t="s">
        <v>145</v>
      </c>
      <c r="E69" s="130" t="s">
        <v>104</v>
      </c>
      <c r="F69" s="130" t="s">
        <v>104</v>
      </c>
      <c r="G69" s="130" t="s">
        <v>104</v>
      </c>
      <c r="H69" s="116">
        <f>SUM(I69:M69)</f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>
        <f>SUM(I69:U69)</f>
        <v>0</v>
      </c>
      <c r="W69" s="90"/>
    </row>
    <row r="70" spans="1:23" s="95" customFormat="1" ht="12.75" customHeight="1" hidden="1">
      <c r="A70" s="115"/>
      <c r="B70" s="119"/>
      <c r="C70" s="129"/>
      <c r="D70" s="129" t="s">
        <v>155</v>
      </c>
      <c r="E70" s="130" t="s">
        <v>104</v>
      </c>
      <c r="F70" s="130" t="s">
        <v>104</v>
      </c>
      <c r="G70" s="130" t="s">
        <v>104</v>
      </c>
      <c r="H70" s="116">
        <f>SUM(I70:M70)</f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>
        <f>SUM(I70:U70)</f>
        <v>0</v>
      </c>
      <c r="W70" s="90"/>
    </row>
    <row r="71" spans="1:23" ht="12.75" customHeight="1" hidden="1">
      <c r="A71" s="115"/>
      <c r="B71" s="119"/>
      <c r="C71" s="119" t="s">
        <v>156</v>
      </c>
      <c r="D71" s="134" t="s">
        <v>166</v>
      </c>
      <c r="E71" s="130" t="s">
        <v>104</v>
      </c>
      <c r="F71" s="130" t="s">
        <v>104</v>
      </c>
      <c r="G71" s="130" t="s">
        <v>104</v>
      </c>
      <c r="H71" s="126">
        <f>H72+H73</f>
        <v>0</v>
      </c>
      <c r="I71" s="126">
        <f>I72+I73</f>
        <v>0</v>
      </c>
      <c r="J71" s="126">
        <f>J72+J73</f>
        <v>0</v>
      </c>
      <c r="K71" s="126">
        <f>K72+K73</f>
        <v>0</v>
      </c>
      <c r="L71" s="126">
        <f>L72+L73</f>
        <v>0</v>
      </c>
      <c r="M71" s="126">
        <f>M72+M73</f>
        <v>0</v>
      </c>
      <c r="N71" s="126"/>
      <c r="O71" s="126"/>
      <c r="P71" s="126"/>
      <c r="Q71" s="126"/>
      <c r="R71" s="126"/>
      <c r="S71" s="126"/>
      <c r="T71" s="126"/>
      <c r="U71" s="126"/>
      <c r="V71" s="116">
        <f>SUM(I71:U71)</f>
        <v>0</v>
      </c>
      <c r="W71" s="85"/>
    </row>
    <row r="72" spans="1:23" s="95" customFormat="1" ht="12.75" customHeight="1" hidden="1">
      <c r="A72" s="115"/>
      <c r="B72" s="119"/>
      <c r="C72" s="129"/>
      <c r="D72" s="132" t="s">
        <v>145</v>
      </c>
      <c r="E72" s="130" t="s">
        <v>104</v>
      </c>
      <c r="F72" s="130" t="s">
        <v>104</v>
      </c>
      <c r="G72" s="130" t="s">
        <v>104</v>
      </c>
      <c r="H72" s="116">
        <f>SUM(I72:M72)</f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>
        <f>SUM(I72:U72)</f>
        <v>0</v>
      </c>
      <c r="W72" s="90"/>
    </row>
    <row r="73" spans="1:23" s="95" customFormat="1" ht="12.75" customHeight="1" hidden="1">
      <c r="A73" s="115"/>
      <c r="B73" s="119"/>
      <c r="C73" s="129"/>
      <c r="D73" s="129" t="s">
        <v>155</v>
      </c>
      <c r="E73" s="130" t="s">
        <v>104</v>
      </c>
      <c r="F73" s="130" t="s">
        <v>104</v>
      </c>
      <c r="G73" s="130" t="s">
        <v>104</v>
      </c>
      <c r="H73" s="116">
        <f>SUM(I73:M73)</f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>
        <f>SUM(I73:U73)</f>
        <v>0</v>
      </c>
      <c r="W73" s="90"/>
    </row>
    <row r="74" spans="1:23" s="145" customFormat="1" ht="35.25" customHeight="1">
      <c r="A74" s="115"/>
      <c r="B74" s="119" t="s">
        <v>167</v>
      </c>
      <c r="C74" s="120" t="s">
        <v>168</v>
      </c>
      <c r="D74" s="120"/>
      <c r="E74" s="125" t="s">
        <v>150</v>
      </c>
      <c r="F74" s="110" t="s">
        <v>104</v>
      </c>
      <c r="G74" s="110" t="s">
        <v>104</v>
      </c>
      <c r="H74" s="126">
        <f>H75+H76</f>
        <v>9300000</v>
      </c>
      <c r="I74" s="126">
        <f>I75+I76</f>
        <v>700000</v>
      </c>
      <c r="J74" s="126">
        <f>J75+J76</f>
        <v>0</v>
      </c>
      <c r="K74" s="126">
        <f>K75+K76</f>
        <v>2900000</v>
      </c>
      <c r="L74" s="126">
        <f>L75+L76</f>
        <v>4700000</v>
      </c>
      <c r="M74" s="126">
        <f>M75+M76</f>
        <v>1000000</v>
      </c>
      <c r="N74" s="126">
        <f>N75+N76</f>
        <v>340000</v>
      </c>
      <c r="O74" s="126">
        <f>O75+O76</f>
        <v>700000</v>
      </c>
      <c r="P74" s="126">
        <f>P75+P76</f>
        <v>400000</v>
      </c>
      <c r="Q74" s="126">
        <f>Q75+Q76</f>
        <v>0</v>
      </c>
      <c r="R74" s="126">
        <f>R75+R76</f>
        <v>0</v>
      </c>
      <c r="S74" s="126">
        <f>S75+S76</f>
        <v>0</v>
      </c>
      <c r="T74" s="126">
        <f>T75+T76</f>
        <v>0</v>
      </c>
      <c r="U74" s="126">
        <f>U75+U76</f>
        <v>0</v>
      </c>
      <c r="V74" s="112">
        <f>SUM(I74:U74)</f>
        <v>10740000</v>
      </c>
      <c r="W74" s="127"/>
    </row>
    <row r="75" spans="1:23" s="146" customFormat="1" ht="27.75" customHeight="1">
      <c r="A75" s="115"/>
      <c r="B75" s="119"/>
      <c r="C75" s="109" t="s">
        <v>145</v>
      </c>
      <c r="D75" s="109"/>
      <c r="E75" s="110" t="s">
        <v>104</v>
      </c>
      <c r="F75" s="110" t="s">
        <v>104</v>
      </c>
      <c r="G75" s="110" t="s">
        <v>104</v>
      </c>
      <c r="H75" s="126">
        <f>H100+H97+H94+H91+H88+H85+H82+H79</f>
        <v>0</v>
      </c>
      <c r="I75" s="126">
        <f>I100+I97+I94+I91+I88+I85+I82+I79</f>
        <v>0</v>
      </c>
      <c r="J75" s="126">
        <f>J100+J97+J94+J91+J88+J85+J82+J79</f>
        <v>0</v>
      </c>
      <c r="K75" s="126">
        <f>K100+K97+K94+K91+K88+K85+K82+K79</f>
        <v>0</v>
      </c>
      <c r="L75" s="126">
        <f>L100+L97+L94+L91+L88+L85+L82+L79</f>
        <v>0</v>
      </c>
      <c r="M75" s="126">
        <f>M100+M97+M94+M91+M88+M85+M82+M79</f>
        <v>0</v>
      </c>
      <c r="N75" s="126">
        <f>N100+N97+N94+N91+N88+N85+N82+N79</f>
        <v>0</v>
      </c>
      <c r="O75" s="126">
        <f>O100+O97+O94+O91+O88+O85+O82+O79</f>
        <v>0</v>
      </c>
      <c r="P75" s="126">
        <f>P100+P97+P94+P91+P88+P85+P82+P79</f>
        <v>0</v>
      </c>
      <c r="Q75" s="126">
        <f>Q100+Q97+Q94+Q91+Q88+Q85+Q82+Q79</f>
        <v>0</v>
      </c>
      <c r="R75" s="126">
        <f>R100+R97+R94+R91+R88+R85+R82+R79</f>
        <v>0</v>
      </c>
      <c r="S75" s="126">
        <f>S100+S97+S94+S91+S88+S85+S82+S79</f>
        <v>0</v>
      </c>
      <c r="T75" s="126">
        <f>T100+T97+T94+T91+T88+T85+T82+T79</f>
        <v>0</v>
      </c>
      <c r="U75" s="126">
        <f>U100+U97+U94+U91+U88+U85+U82+U79</f>
        <v>0</v>
      </c>
      <c r="V75" s="116">
        <f>SUM(I75:U75)</f>
        <v>0</v>
      </c>
      <c r="W75" s="127"/>
    </row>
    <row r="76" spans="1:23" s="146" customFormat="1" ht="27.75" customHeight="1">
      <c r="A76" s="115"/>
      <c r="B76" s="119"/>
      <c r="C76" s="109" t="s">
        <v>146</v>
      </c>
      <c r="D76" s="109"/>
      <c r="E76" s="110" t="s">
        <v>104</v>
      </c>
      <c r="F76" s="110" t="s">
        <v>104</v>
      </c>
      <c r="G76" s="110" t="s">
        <v>104</v>
      </c>
      <c r="H76" s="126">
        <f>H101+H98+H95+H92+H89+H86+H83+H80</f>
        <v>9300000</v>
      </c>
      <c r="I76" s="126">
        <f>I101+I98+I95+I92+I89+I86+I83+I80</f>
        <v>700000</v>
      </c>
      <c r="J76" s="126">
        <f>J101+J98+J95+J92+J89+J86+J83+J80</f>
        <v>0</v>
      </c>
      <c r="K76" s="126">
        <f>K101+K98+K95+K92+K89+K86+K83+K80</f>
        <v>2900000</v>
      </c>
      <c r="L76" s="126">
        <f>L101+L98+L95+L92+L89+L86+L83+L80</f>
        <v>4700000</v>
      </c>
      <c r="M76" s="126">
        <f>M101+M98+M95+M92+M89+M86+M83+M80</f>
        <v>1000000</v>
      </c>
      <c r="N76" s="126">
        <f>N101+N98+N95+N92+N89+N86+N83+N80</f>
        <v>340000</v>
      </c>
      <c r="O76" s="126">
        <f>O101+O98+O95+O92+O89+O86+O83+O80</f>
        <v>700000</v>
      </c>
      <c r="P76" s="126">
        <f>P101+P98+P95+P92+P89+P86+P83+P80</f>
        <v>400000</v>
      </c>
      <c r="Q76" s="126">
        <f>Q101+Q98+Q95+Q92+Q89+Q86+Q83+Q80</f>
        <v>0</v>
      </c>
      <c r="R76" s="126">
        <f>R101+R98+R95+R92+R89+R86+R83+R80</f>
        <v>0</v>
      </c>
      <c r="S76" s="126">
        <f>S101+S98+S95+S92+S89+S86+S83+S80</f>
        <v>0</v>
      </c>
      <c r="T76" s="126">
        <f>T101+T98+T95+T92+T89+T86+T83+T80</f>
        <v>0</v>
      </c>
      <c r="U76" s="126">
        <f>U101+U98+U95+U92+U89+U86+U83+U80</f>
        <v>0</v>
      </c>
      <c r="V76" s="116">
        <f>SUM(I76:U76)</f>
        <v>10740000</v>
      </c>
      <c r="W76" s="127"/>
    </row>
    <row r="77" spans="1:23" ht="27.75" customHeight="1">
      <c r="A77" s="115"/>
      <c r="B77" s="119"/>
      <c r="C77" s="115" t="s">
        <v>152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6">
        <f>SUM(I77:U77)</f>
        <v>0</v>
      </c>
      <c r="W77" s="78"/>
    </row>
    <row r="78" spans="1:23" s="97" customFormat="1" ht="44.25" customHeight="1">
      <c r="A78" s="115"/>
      <c r="B78" s="119"/>
      <c r="C78" s="119" t="s">
        <v>153</v>
      </c>
      <c r="D78" s="134" t="s">
        <v>195</v>
      </c>
      <c r="E78" s="125" t="s">
        <v>104</v>
      </c>
      <c r="F78" s="125" t="s">
        <v>104</v>
      </c>
      <c r="G78" s="125" t="s">
        <v>104</v>
      </c>
      <c r="H78" s="126">
        <f>H79+H80</f>
        <v>2000000</v>
      </c>
      <c r="I78" s="126">
        <f>I79+I80</f>
        <v>0</v>
      </c>
      <c r="J78" s="126">
        <f>J79+J80</f>
        <v>0</v>
      </c>
      <c r="K78" s="126">
        <f>K79+K80</f>
        <v>1000000</v>
      </c>
      <c r="L78" s="126">
        <f>L79+L80</f>
        <v>1000000</v>
      </c>
      <c r="M78" s="126">
        <f>M79+M80</f>
        <v>0</v>
      </c>
      <c r="N78" s="126">
        <f>N79+N80</f>
        <v>0</v>
      </c>
      <c r="O78" s="126">
        <f>O79+O80</f>
        <v>0</v>
      </c>
      <c r="P78" s="126">
        <f>P79+P80</f>
        <v>0</v>
      </c>
      <c r="Q78" s="126">
        <f>Q79+Q80</f>
        <v>0</v>
      </c>
      <c r="R78" s="126">
        <f>R79+R80</f>
        <v>0</v>
      </c>
      <c r="S78" s="126">
        <f>S79+S80</f>
        <v>0</v>
      </c>
      <c r="T78" s="126">
        <f>T79+T80</f>
        <v>0</v>
      </c>
      <c r="U78" s="126">
        <f>U79+U80</f>
        <v>0</v>
      </c>
      <c r="V78" s="112">
        <f>SUM(I78:U78)</f>
        <v>2000000</v>
      </c>
      <c r="W78" s="85"/>
    </row>
    <row r="79" spans="1:23" s="95" customFormat="1" ht="27.75" customHeight="1">
      <c r="A79" s="115"/>
      <c r="B79" s="119"/>
      <c r="C79" s="129"/>
      <c r="D79" s="132" t="s">
        <v>145</v>
      </c>
      <c r="E79" s="130" t="s">
        <v>104</v>
      </c>
      <c r="F79" s="130" t="s">
        <v>104</v>
      </c>
      <c r="G79" s="130" t="s">
        <v>104</v>
      </c>
      <c r="H79" s="116">
        <f>SUM(I79:M79)</f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>
        <f>SUM(I79:U79)</f>
        <v>0</v>
      </c>
      <c r="W79" s="90"/>
    </row>
    <row r="80" spans="1:23" s="95" customFormat="1" ht="27.75" customHeight="1">
      <c r="A80" s="115"/>
      <c r="B80" s="119"/>
      <c r="C80" s="129"/>
      <c r="D80" s="129" t="s">
        <v>155</v>
      </c>
      <c r="E80" s="130" t="s">
        <v>104</v>
      </c>
      <c r="F80" s="130" t="s">
        <v>104</v>
      </c>
      <c r="G80" s="130" t="s">
        <v>104</v>
      </c>
      <c r="H80" s="116">
        <f>SUM(I80:M80)</f>
        <v>2000000</v>
      </c>
      <c r="I80" s="116">
        <v>0</v>
      </c>
      <c r="J80" s="116">
        <v>0</v>
      </c>
      <c r="K80" s="116">
        <v>1000000</v>
      </c>
      <c r="L80" s="116">
        <v>1000000</v>
      </c>
      <c r="M80" s="116"/>
      <c r="N80" s="116"/>
      <c r="O80" s="116"/>
      <c r="P80" s="116"/>
      <c r="Q80" s="116"/>
      <c r="R80" s="116"/>
      <c r="S80" s="116"/>
      <c r="T80" s="116"/>
      <c r="U80" s="116"/>
      <c r="V80" s="116">
        <f>SUM(I80:U80)</f>
        <v>2000000</v>
      </c>
      <c r="W80" s="90"/>
    </row>
    <row r="81" spans="1:23" s="96" customFormat="1" ht="27.75" customHeight="1">
      <c r="A81" s="115"/>
      <c r="B81" s="119"/>
      <c r="C81" s="119" t="s">
        <v>156</v>
      </c>
      <c r="D81" s="134" t="s">
        <v>196</v>
      </c>
      <c r="E81" s="125" t="s">
        <v>104</v>
      </c>
      <c r="F81" s="125" t="s">
        <v>104</v>
      </c>
      <c r="G81" s="125" t="s">
        <v>104</v>
      </c>
      <c r="H81" s="126">
        <f>H82+H83</f>
        <v>2500000</v>
      </c>
      <c r="I81" s="126">
        <f>I82+I83</f>
        <v>0</v>
      </c>
      <c r="J81" s="126">
        <f>J82+J83</f>
        <v>0</v>
      </c>
      <c r="K81" s="126">
        <f>K82+K83</f>
        <v>500000</v>
      </c>
      <c r="L81" s="126">
        <f>L82+L83</f>
        <v>1000000</v>
      </c>
      <c r="M81" s="126">
        <f>M82+M83</f>
        <v>1000000</v>
      </c>
      <c r="N81" s="126">
        <f>N82+N83</f>
        <v>0</v>
      </c>
      <c r="O81" s="126">
        <f>O82+O83</f>
        <v>0</v>
      </c>
      <c r="P81" s="126">
        <f>P82+P83</f>
        <v>0</v>
      </c>
      <c r="Q81" s="126">
        <f>Q82+Q83</f>
        <v>0</v>
      </c>
      <c r="R81" s="126">
        <f>R82+R83</f>
        <v>0</v>
      </c>
      <c r="S81" s="126">
        <f>S82+S83</f>
        <v>0</v>
      </c>
      <c r="T81" s="126">
        <f>T82+T83</f>
        <v>0</v>
      </c>
      <c r="U81" s="126">
        <f>U82+U83</f>
        <v>0</v>
      </c>
      <c r="V81" s="112">
        <f>SUM(I81:U81)</f>
        <v>2500000</v>
      </c>
      <c r="W81" s="135"/>
    </row>
    <row r="82" spans="1:23" s="95" customFormat="1" ht="27.75" customHeight="1">
      <c r="A82" s="115"/>
      <c r="B82" s="119"/>
      <c r="C82" s="129"/>
      <c r="D82" s="132" t="s">
        <v>145</v>
      </c>
      <c r="E82" s="130" t="s">
        <v>104</v>
      </c>
      <c r="F82" s="130" t="s">
        <v>104</v>
      </c>
      <c r="G82" s="130" t="s">
        <v>104</v>
      </c>
      <c r="H82" s="116">
        <f>SUM(I82:M82)</f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>
        <f>SUM(I82:U82)</f>
        <v>0</v>
      </c>
      <c r="W82" s="90"/>
    </row>
    <row r="83" spans="1:23" s="95" customFormat="1" ht="27.75" customHeight="1">
      <c r="A83" s="115"/>
      <c r="B83" s="119"/>
      <c r="C83" s="129"/>
      <c r="D83" s="129" t="s">
        <v>155</v>
      </c>
      <c r="E83" s="130" t="s">
        <v>104</v>
      </c>
      <c r="F83" s="130" t="s">
        <v>104</v>
      </c>
      <c r="G83" s="130" t="s">
        <v>104</v>
      </c>
      <c r="H83" s="116">
        <f>SUM(I83:M83)</f>
        <v>2500000</v>
      </c>
      <c r="I83" s="116"/>
      <c r="J83" s="116"/>
      <c r="K83" s="116">
        <v>500000</v>
      </c>
      <c r="L83" s="116">
        <v>1000000</v>
      </c>
      <c r="M83" s="116">
        <v>1000000</v>
      </c>
      <c r="N83" s="116"/>
      <c r="O83" s="116"/>
      <c r="P83" s="116"/>
      <c r="Q83" s="116"/>
      <c r="R83" s="116"/>
      <c r="S83" s="116"/>
      <c r="T83" s="116"/>
      <c r="U83" s="116"/>
      <c r="V83" s="116">
        <f>SUM(I83:U83)</f>
        <v>2500000</v>
      </c>
      <c r="W83" s="90"/>
    </row>
    <row r="84" spans="1:23" s="96" customFormat="1" ht="39.75" customHeight="1">
      <c r="A84" s="115"/>
      <c r="B84" s="119"/>
      <c r="C84" s="119" t="s">
        <v>158</v>
      </c>
      <c r="D84" s="134" t="s">
        <v>197</v>
      </c>
      <c r="E84" s="125" t="s">
        <v>104</v>
      </c>
      <c r="F84" s="125" t="s">
        <v>104</v>
      </c>
      <c r="G84" s="125" t="s">
        <v>104</v>
      </c>
      <c r="H84" s="126">
        <f>H85+H86</f>
        <v>2000000</v>
      </c>
      <c r="I84" s="126">
        <f>I85+I86</f>
        <v>0</v>
      </c>
      <c r="J84" s="126">
        <f>J85+J86</f>
        <v>0</v>
      </c>
      <c r="K84" s="126">
        <f>K85+K86</f>
        <v>0</v>
      </c>
      <c r="L84" s="126">
        <f>L85+L86</f>
        <v>2000000</v>
      </c>
      <c r="M84" s="126">
        <f>M85+M86</f>
        <v>0</v>
      </c>
      <c r="N84" s="126">
        <f>N85+N86</f>
        <v>0</v>
      </c>
      <c r="O84" s="126">
        <f>O85+O86</f>
        <v>0</v>
      </c>
      <c r="P84" s="126">
        <f>P85+P86</f>
        <v>0</v>
      </c>
      <c r="Q84" s="126">
        <f>Q85+Q86</f>
        <v>0</v>
      </c>
      <c r="R84" s="126">
        <f>R85+R86</f>
        <v>0</v>
      </c>
      <c r="S84" s="126">
        <f>S85+S86</f>
        <v>0</v>
      </c>
      <c r="T84" s="126">
        <f>T85+T86</f>
        <v>0</v>
      </c>
      <c r="U84" s="126">
        <f>U85+U86</f>
        <v>0</v>
      </c>
      <c r="V84" s="112">
        <f>SUM(I84:U84)</f>
        <v>2000000</v>
      </c>
      <c r="W84" s="135"/>
    </row>
    <row r="85" spans="1:23" s="95" customFormat="1" ht="27.75" customHeight="1">
      <c r="A85" s="115"/>
      <c r="B85" s="119"/>
      <c r="C85" s="129"/>
      <c r="D85" s="132" t="s">
        <v>145</v>
      </c>
      <c r="E85" s="130" t="s">
        <v>104</v>
      </c>
      <c r="F85" s="130" t="s">
        <v>104</v>
      </c>
      <c r="G85" s="130" t="s">
        <v>104</v>
      </c>
      <c r="H85" s="116">
        <f>SUM(I85:M85)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>
        <f>SUM(I85:U85)</f>
        <v>0</v>
      </c>
      <c r="W85" s="90"/>
    </row>
    <row r="86" spans="1:23" s="95" customFormat="1" ht="27.75" customHeight="1">
      <c r="A86" s="115"/>
      <c r="B86" s="119"/>
      <c r="C86" s="129"/>
      <c r="D86" s="129" t="s">
        <v>155</v>
      </c>
      <c r="E86" s="130" t="s">
        <v>104</v>
      </c>
      <c r="F86" s="130" t="s">
        <v>104</v>
      </c>
      <c r="G86" s="130" t="s">
        <v>104</v>
      </c>
      <c r="H86" s="116">
        <f>SUM(I86:M86)</f>
        <v>2000000</v>
      </c>
      <c r="I86" s="116"/>
      <c r="J86" s="116"/>
      <c r="K86" s="116"/>
      <c r="L86" s="116">
        <v>2000000</v>
      </c>
      <c r="M86" s="116"/>
      <c r="N86" s="116"/>
      <c r="O86" s="116"/>
      <c r="P86" s="116"/>
      <c r="Q86" s="116"/>
      <c r="R86" s="116"/>
      <c r="S86" s="116"/>
      <c r="T86" s="116"/>
      <c r="U86" s="116"/>
      <c r="V86" s="116">
        <f>SUM(I86:U86)</f>
        <v>2000000</v>
      </c>
      <c r="W86" s="90"/>
    </row>
    <row r="87" spans="1:23" s="95" customFormat="1" ht="36.75">
      <c r="A87" s="115"/>
      <c r="B87" s="119"/>
      <c r="C87" s="119" t="s">
        <v>160</v>
      </c>
      <c r="D87" s="134" t="s">
        <v>198</v>
      </c>
      <c r="E87" s="130" t="s">
        <v>104</v>
      </c>
      <c r="F87" s="130" t="s">
        <v>104</v>
      </c>
      <c r="G87" s="130" t="s">
        <v>104</v>
      </c>
      <c r="H87" s="126">
        <f>H88+H89</f>
        <v>300000</v>
      </c>
      <c r="I87" s="126">
        <f>I88+I89</f>
        <v>0</v>
      </c>
      <c r="J87" s="126">
        <f>J88+J89</f>
        <v>0</v>
      </c>
      <c r="K87" s="126">
        <f>K88+K89</f>
        <v>0</v>
      </c>
      <c r="L87" s="126">
        <f>L88+L89</f>
        <v>300000</v>
      </c>
      <c r="M87" s="126">
        <f>M88+M89</f>
        <v>0</v>
      </c>
      <c r="N87" s="126">
        <f>N88+N89</f>
        <v>0</v>
      </c>
      <c r="O87" s="126">
        <f>O88+O89</f>
        <v>0</v>
      </c>
      <c r="P87" s="126">
        <f>P88+P89</f>
        <v>0</v>
      </c>
      <c r="Q87" s="126">
        <f>Q88+Q89</f>
        <v>0</v>
      </c>
      <c r="R87" s="126">
        <f>R88+R89</f>
        <v>0</v>
      </c>
      <c r="S87" s="126">
        <f>S88+S89</f>
        <v>0</v>
      </c>
      <c r="T87" s="126">
        <f>T88+T89</f>
        <v>0</v>
      </c>
      <c r="U87" s="126">
        <f>U88+U89</f>
        <v>0</v>
      </c>
      <c r="V87" s="116">
        <f>SUM(I87:U87)</f>
        <v>300000</v>
      </c>
      <c r="W87" s="90"/>
    </row>
    <row r="88" spans="1:23" s="95" customFormat="1" ht="27.75" customHeight="1">
      <c r="A88" s="115"/>
      <c r="B88" s="119"/>
      <c r="C88" s="129"/>
      <c r="D88" s="132" t="s">
        <v>145</v>
      </c>
      <c r="E88" s="130" t="s">
        <v>104</v>
      </c>
      <c r="F88" s="130" t="s">
        <v>104</v>
      </c>
      <c r="G88" s="130" t="s">
        <v>104</v>
      </c>
      <c r="H88" s="116">
        <f>SUM(I88:M88)</f>
        <v>0</v>
      </c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>
        <f>SUM(I88:U88)</f>
        <v>0</v>
      </c>
      <c r="W88" s="90"/>
    </row>
    <row r="89" spans="1:23" s="95" customFormat="1" ht="27.75" customHeight="1">
      <c r="A89" s="115"/>
      <c r="B89" s="119"/>
      <c r="C89" s="129"/>
      <c r="D89" s="129" t="s">
        <v>155</v>
      </c>
      <c r="E89" s="130" t="s">
        <v>104</v>
      </c>
      <c r="F89" s="130" t="s">
        <v>104</v>
      </c>
      <c r="G89" s="130" t="s">
        <v>104</v>
      </c>
      <c r="H89" s="116">
        <f>SUM(I89:M89)</f>
        <v>300000</v>
      </c>
      <c r="I89" s="116"/>
      <c r="J89" s="116"/>
      <c r="K89" s="116"/>
      <c r="L89" s="116">
        <v>300000</v>
      </c>
      <c r="M89" s="116"/>
      <c r="N89" s="116"/>
      <c r="O89" s="116"/>
      <c r="P89" s="116"/>
      <c r="Q89" s="116"/>
      <c r="R89" s="116"/>
      <c r="S89" s="116"/>
      <c r="T89" s="116"/>
      <c r="U89" s="116"/>
      <c r="V89" s="116">
        <f>SUM(I89:U89)</f>
        <v>300000</v>
      </c>
      <c r="W89" s="90"/>
    </row>
    <row r="90" spans="1:23" s="96" customFormat="1" ht="42" customHeight="1">
      <c r="A90" s="115"/>
      <c r="B90" s="119"/>
      <c r="C90" s="119" t="s">
        <v>162</v>
      </c>
      <c r="D90" s="134" t="s">
        <v>199</v>
      </c>
      <c r="E90" s="125" t="s">
        <v>104</v>
      </c>
      <c r="F90" s="125" t="s">
        <v>104</v>
      </c>
      <c r="G90" s="125" t="s">
        <v>104</v>
      </c>
      <c r="H90" s="126">
        <f>H91+H92</f>
        <v>1700000</v>
      </c>
      <c r="I90" s="126">
        <f>I91+I92</f>
        <v>700000</v>
      </c>
      <c r="J90" s="126">
        <f>J91+J92</f>
        <v>0</v>
      </c>
      <c r="K90" s="126">
        <f>K91+K92</f>
        <v>1000000</v>
      </c>
      <c r="L90" s="126">
        <f>L91+L92</f>
        <v>0</v>
      </c>
      <c r="M90" s="126">
        <f>M91+M92</f>
        <v>0</v>
      </c>
      <c r="N90" s="126">
        <f>N91+N92</f>
        <v>0</v>
      </c>
      <c r="O90" s="126">
        <f>O91+O92</f>
        <v>0</v>
      </c>
      <c r="P90" s="126">
        <f>P91+P92</f>
        <v>0</v>
      </c>
      <c r="Q90" s="126">
        <f>Q91+Q92</f>
        <v>0</v>
      </c>
      <c r="R90" s="126">
        <f>R91+R92</f>
        <v>0</v>
      </c>
      <c r="S90" s="126">
        <f>S91+S92</f>
        <v>0</v>
      </c>
      <c r="T90" s="126">
        <f>T91+T92</f>
        <v>0</v>
      </c>
      <c r="U90" s="126">
        <f>U91+U92</f>
        <v>0</v>
      </c>
      <c r="V90" s="112">
        <f>SUM(I90:U90)</f>
        <v>1700000</v>
      </c>
      <c r="W90" s="135"/>
    </row>
    <row r="91" spans="1:23" s="95" customFormat="1" ht="27.75" customHeight="1">
      <c r="A91" s="115"/>
      <c r="B91" s="119"/>
      <c r="C91" s="129"/>
      <c r="D91" s="132" t="s">
        <v>145</v>
      </c>
      <c r="E91" s="130" t="s">
        <v>104</v>
      </c>
      <c r="F91" s="130" t="s">
        <v>104</v>
      </c>
      <c r="G91" s="130" t="s">
        <v>104</v>
      </c>
      <c r="H91" s="116">
        <f>SUM(I91:M91)</f>
        <v>0</v>
      </c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>
        <f>SUM(I91:U91)</f>
        <v>0</v>
      </c>
      <c r="W91" s="90"/>
    </row>
    <row r="92" spans="1:23" s="95" customFormat="1" ht="27.75" customHeight="1">
      <c r="A92" s="115"/>
      <c r="B92" s="119"/>
      <c r="C92" s="129"/>
      <c r="D92" s="129" t="s">
        <v>155</v>
      </c>
      <c r="E92" s="130" t="s">
        <v>104</v>
      </c>
      <c r="F92" s="130" t="s">
        <v>104</v>
      </c>
      <c r="G92" s="130" t="s">
        <v>104</v>
      </c>
      <c r="H92" s="116">
        <f>SUM(I92:M92)</f>
        <v>1700000</v>
      </c>
      <c r="I92" s="116">
        <v>700000</v>
      </c>
      <c r="J92" s="116"/>
      <c r="K92" s="116">
        <v>1000000</v>
      </c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>
        <f>SUM(I92:U92)</f>
        <v>1700000</v>
      </c>
      <c r="W92" s="90"/>
    </row>
    <row r="93" spans="1:23" s="96" customFormat="1" ht="27.75" customHeight="1">
      <c r="A93" s="115"/>
      <c r="B93" s="119"/>
      <c r="C93" s="119" t="s">
        <v>181</v>
      </c>
      <c r="D93" s="134" t="s">
        <v>200</v>
      </c>
      <c r="E93" s="125" t="s">
        <v>104</v>
      </c>
      <c r="F93" s="125" t="s">
        <v>104</v>
      </c>
      <c r="G93" s="125" t="s">
        <v>104</v>
      </c>
      <c r="H93" s="126">
        <f>H94+H95</f>
        <v>800000</v>
      </c>
      <c r="I93" s="126">
        <f>I94+I95</f>
        <v>0</v>
      </c>
      <c r="J93" s="126">
        <f>J94+J95</f>
        <v>0</v>
      </c>
      <c r="K93" s="126">
        <f>K94+K95</f>
        <v>400000</v>
      </c>
      <c r="L93" s="126">
        <f>L94+L95</f>
        <v>400000</v>
      </c>
      <c r="M93" s="126">
        <f>M94+M95</f>
        <v>0</v>
      </c>
      <c r="N93" s="126">
        <f>N94+N95</f>
        <v>0</v>
      </c>
      <c r="O93" s="126">
        <f>O94+O95</f>
        <v>0</v>
      </c>
      <c r="P93" s="126">
        <f>P94+P95</f>
        <v>0</v>
      </c>
      <c r="Q93" s="126">
        <f>Q94+Q95</f>
        <v>0</v>
      </c>
      <c r="R93" s="126">
        <f>R94+R95</f>
        <v>0</v>
      </c>
      <c r="S93" s="126">
        <f>S94+S95</f>
        <v>0</v>
      </c>
      <c r="T93" s="126">
        <f>T94+T95</f>
        <v>0</v>
      </c>
      <c r="U93" s="126">
        <f>U94+U95</f>
        <v>0</v>
      </c>
      <c r="V93" s="112">
        <f>SUM(I93:U93)</f>
        <v>800000</v>
      </c>
      <c r="W93" s="135"/>
    </row>
    <row r="94" spans="1:23" s="95" customFormat="1" ht="27.75" customHeight="1">
      <c r="A94" s="115"/>
      <c r="B94" s="119"/>
      <c r="C94" s="129"/>
      <c r="D94" s="132" t="s">
        <v>145</v>
      </c>
      <c r="E94" s="130" t="s">
        <v>104</v>
      </c>
      <c r="F94" s="130" t="s">
        <v>104</v>
      </c>
      <c r="G94" s="130" t="s">
        <v>104</v>
      </c>
      <c r="H94" s="116">
        <f>SUM(I94:M94)</f>
        <v>0</v>
      </c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>
        <f>SUM(I94:U94)</f>
        <v>0</v>
      </c>
      <c r="W94" s="90"/>
    </row>
    <row r="95" spans="1:23" s="95" customFormat="1" ht="27.75" customHeight="1">
      <c r="A95" s="115"/>
      <c r="B95" s="119"/>
      <c r="C95" s="129"/>
      <c r="D95" s="129" t="s">
        <v>155</v>
      </c>
      <c r="E95" s="130" t="s">
        <v>104</v>
      </c>
      <c r="F95" s="130" t="s">
        <v>104</v>
      </c>
      <c r="G95" s="130" t="s">
        <v>104</v>
      </c>
      <c r="H95" s="116">
        <f>SUM(I95:M95)</f>
        <v>800000</v>
      </c>
      <c r="I95" s="116"/>
      <c r="J95" s="116"/>
      <c r="K95" s="116">
        <v>400000</v>
      </c>
      <c r="L95" s="116">
        <v>400000</v>
      </c>
      <c r="M95" s="116"/>
      <c r="N95" s="116"/>
      <c r="O95" s="116"/>
      <c r="P95" s="116"/>
      <c r="Q95" s="116"/>
      <c r="R95" s="116"/>
      <c r="S95" s="116"/>
      <c r="T95" s="116"/>
      <c r="U95" s="116"/>
      <c r="V95" s="116">
        <f>SUM(I95:U95)</f>
        <v>800000</v>
      </c>
      <c r="W95" s="90"/>
    </row>
    <row r="96" spans="1:23" s="96" customFormat="1" ht="37.5" customHeight="1">
      <c r="A96" s="115"/>
      <c r="B96" s="119"/>
      <c r="C96" s="119" t="s">
        <v>183</v>
      </c>
      <c r="D96" s="134" t="s">
        <v>201</v>
      </c>
      <c r="E96" s="125" t="s">
        <v>104</v>
      </c>
      <c r="F96" s="125" t="s">
        <v>104</v>
      </c>
      <c r="G96" s="125" t="s">
        <v>104</v>
      </c>
      <c r="H96" s="126">
        <f>H97+H98</f>
        <v>0</v>
      </c>
      <c r="I96" s="126">
        <f>I97+I98</f>
        <v>0</v>
      </c>
      <c r="J96" s="126">
        <f>J97+J98</f>
        <v>0</v>
      </c>
      <c r="K96" s="126">
        <f>K97+K98</f>
        <v>0</v>
      </c>
      <c r="L96" s="126">
        <f>L97+L98</f>
        <v>0</v>
      </c>
      <c r="M96" s="126">
        <f>M97+M98</f>
        <v>0</v>
      </c>
      <c r="N96" s="126">
        <f>N97+N98</f>
        <v>300000</v>
      </c>
      <c r="O96" s="126">
        <f>O97+O98</f>
        <v>300000</v>
      </c>
      <c r="P96" s="126">
        <f>P97+P98</f>
        <v>0</v>
      </c>
      <c r="Q96" s="126">
        <f>Q97+Q98</f>
        <v>0</v>
      </c>
      <c r="R96" s="126">
        <f>R97+R98</f>
        <v>0</v>
      </c>
      <c r="S96" s="126">
        <f>S97+S98</f>
        <v>0</v>
      </c>
      <c r="T96" s="126">
        <f>T97+T98</f>
        <v>0</v>
      </c>
      <c r="U96" s="126">
        <f>U97+U98</f>
        <v>0</v>
      </c>
      <c r="V96" s="112">
        <f>SUM(I96:U96)</f>
        <v>600000</v>
      </c>
      <c r="W96" s="135"/>
    </row>
    <row r="97" spans="1:23" s="95" customFormat="1" ht="27.75" customHeight="1">
      <c r="A97" s="115"/>
      <c r="B97" s="119"/>
      <c r="C97" s="129"/>
      <c r="D97" s="132" t="s">
        <v>145</v>
      </c>
      <c r="E97" s="130" t="s">
        <v>104</v>
      </c>
      <c r="F97" s="130" t="s">
        <v>104</v>
      </c>
      <c r="G97" s="130" t="s">
        <v>104</v>
      </c>
      <c r="H97" s="116">
        <f>SUM(I97:M97)</f>
        <v>0</v>
      </c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>
        <f>SUM(I97:U97)</f>
        <v>0</v>
      </c>
      <c r="W97" s="90"/>
    </row>
    <row r="98" spans="1:23" s="95" customFormat="1" ht="27.75" customHeight="1">
      <c r="A98" s="115"/>
      <c r="B98" s="119"/>
      <c r="C98" s="129"/>
      <c r="D98" s="129" t="s">
        <v>155</v>
      </c>
      <c r="E98" s="130" t="s">
        <v>104</v>
      </c>
      <c r="F98" s="130" t="s">
        <v>104</v>
      </c>
      <c r="G98" s="130" t="s">
        <v>104</v>
      </c>
      <c r="H98" s="116">
        <f>SUM(I98:M98)</f>
        <v>0</v>
      </c>
      <c r="I98" s="116"/>
      <c r="J98" s="116"/>
      <c r="K98" s="116"/>
      <c r="L98" s="116"/>
      <c r="M98" s="116"/>
      <c r="N98" s="116">
        <v>300000</v>
      </c>
      <c r="O98" s="116">
        <v>300000</v>
      </c>
      <c r="P98" s="116"/>
      <c r="Q98" s="116"/>
      <c r="R98" s="116"/>
      <c r="S98" s="116"/>
      <c r="T98" s="116"/>
      <c r="U98" s="116"/>
      <c r="V98" s="116">
        <f>SUM(I98:U98)</f>
        <v>600000</v>
      </c>
      <c r="W98" s="90"/>
    </row>
    <row r="99" spans="1:23" s="96" customFormat="1" ht="36.75">
      <c r="A99" s="115"/>
      <c r="B99" s="119"/>
      <c r="C99" s="119" t="s">
        <v>185</v>
      </c>
      <c r="D99" s="134" t="s">
        <v>202</v>
      </c>
      <c r="E99" s="125" t="s">
        <v>104</v>
      </c>
      <c r="F99" s="125" t="s">
        <v>104</v>
      </c>
      <c r="G99" s="125" t="s">
        <v>104</v>
      </c>
      <c r="H99" s="126">
        <f>H100+H101</f>
        <v>0</v>
      </c>
      <c r="I99" s="126">
        <f>I100+I101</f>
        <v>0</v>
      </c>
      <c r="J99" s="126">
        <f>J100+J101</f>
        <v>0</v>
      </c>
      <c r="K99" s="126">
        <f>K100+K101</f>
        <v>0</v>
      </c>
      <c r="L99" s="126">
        <f>L100+L101</f>
        <v>0</v>
      </c>
      <c r="M99" s="126">
        <f>M100+M101</f>
        <v>0</v>
      </c>
      <c r="N99" s="126">
        <f>N100+N101</f>
        <v>40000</v>
      </c>
      <c r="O99" s="126">
        <f>O100+O101</f>
        <v>400000</v>
      </c>
      <c r="P99" s="126">
        <f>P100+P101</f>
        <v>400000</v>
      </c>
      <c r="Q99" s="126">
        <f>Q100+Q101</f>
        <v>0</v>
      </c>
      <c r="R99" s="126">
        <f>R100+R101</f>
        <v>0</v>
      </c>
      <c r="S99" s="126">
        <f>S100+S101</f>
        <v>0</v>
      </c>
      <c r="T99" s="126">
        <f>T100+T101</f>
        <v>0</v>
      </c>
      <c r="U99" s="126">
        <f>U100+U101</f>
        <v>0</v>
      </c>
      <c r="V99" s="112">
        <f>SUM(I99:U99)</f>
        <v>840000</v>
      </c>
      <c r="W99" s="135"/>
    </row>
    <row r="100" spans="1:23" s="95" customFormat="1" ht="27.75" customHeight="1">
      <c r="A100" s="115"/>
      <c r="B100" s="119"/>
      <c r="C100" s="129"/>
      <c r="D100" s="132" t="s">
        <v>145</v>
      </c>
      <c r="E100" s="130" t="s">
        <v>104</v>
      </c>
      <c r="F100" s="130" t="s">
        <v>104</v>
      </c>
      <c r="G100" s="130" t="s">
        <v>104</v>
      </c>
      <c r="H100" s="116">
        <f>SUM(I100:M100)</f>
        <v>0</v>
      </c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>
        <f>SUM(I100:U100)</f>
        <v>0</v>
      </c>
      <c r="W100" s="90"/>
    </row>
    <row r="101" spans="1:23" s="95" customFormat="1" ht="27.75" customHeight="1">
      <c r="A101" s="115"/>
      <c r="B101" s="119"/>
      <c r="C101" s="129"/>
      <c r="D101" s="129" t="s">
        <v>155</v>
      </c>
      <c r="E101" s="130" t="s">
        <v>104</v>
      </c>
      <c r="F101" s="130" t="s">
        <v>104</v>
      </c>
      <c r="G101" s="130" t="s">
        <v>104</v>
      </c>
      <c r="H101" s="116">
        <f>SUM(I101:M101)</f>
        <v>0</v>
      </c>
      <c r="I101" s="116"/>
      <c r="J101" s="116"/>
      <c r="K101" s="116"/>
      <c r="L101" s="116"/>
      <c r="M101" s="116"/>
      <c r="N101" s="116">
        <v>40000</v>
      </c>
      <c r="O101" s="116">
        <v>400000</v>
      </c>
      <c r="P101" s="116">
        <v>400000</v>
      </c>
      <c r="Q101" s="116"/>
      <c r="R101" s="116"/>
      <c r="S101" s="116"/>
      <c r="T101" s="116"/>
      <c r="U101" s="116"/>
      <c r="V101" s="116">
        <f>SUM(I101:U101)</f>
        <v>840000</v>
      </c>
      <c r="W101" s="90"/>
    </row>
    <row r="102" spans="1:23" s="148" customFormat="1" ht="71.25" customHeight="1">
      <c r="A102" s="115"/>
      <c r="B102" s="119" t="s">
        <v>169</v>
      </c>
      <c r="C102" s="120" t="s">
        <v>170</v>
      </c>
      <c r="D102" s="120"/>
      <c r="E102" s="110" t="s">
        <v>150</v>
      </c>
      <c r="F102" s="110" t="s">
        <v>104</v>
      </c>
      <c r="G102" s="110" t="s">
        <v>104</v>
      </c>
      <c r="H102" s="126">
        <f>H103+H104</f>
        <v>7216939.051953125</v>
      </c>
      <c r="I102" s="126">
        <f>I103+I104</f>
        <v>1373000</v>
      </c>
      <c r="J102" s="126">
        <f>J103+J104</f>
        <v>1407325</v>
      </c>
      <c r="K102" s="126">
        <f>K103+K104</f>
        <v>1442508.125</v>
      </c>
      <c r="L102" s="126">
        <f>L103+L104</f>
        <v>1478570.828125</v>
      </c>
      <c r="M102" s="126">
        <f>M103+M104</f>
        <v>1515535.098828125</v>
      </c>
      <c r="N102" s="126">
        <f>N103+N104</f>
        <v>1553423.4762988281</v>
      </c>
      <c r="O102" s="126">
        <f>O103+O104</f>
        <v>1592259.0632062987</v>
      </c>
      <c r="P102" s="126">
        <f>P103+P104</f>
        <v>1632065.5397864562</v>
      </c>
      <c r="Q102" s="126">
        <f>Q103+Q104</f>
        <v>1672867.1782811177</v>
      </c>
      <c r="R102" s="126">
        <f>R103+R104</f>
        <v>1714688.8577381459</v>
      </c>
      <c r="S102" s="126">
        <f>S103+S104</f>
        <v>1757556.0791815994</v>
      </c>
      <c r="T102" s="126">
        <f>T103+T104</f>
        <v>1801494.9811611394</v>
      </c>
      <c r="U102" s="126">
        <f>U103+U104</f>
        <v>1846532.3556901678</v>
      </c>
      <c r="V102" s="126">
        <f>V103+V104</f>
        <v>20787826.58329688</v>
      </c>
      <c r="W102" s="147"/>
    </row>
    <row r="103" spans="1:23" s="149" customFormat="1" ht="27.75" customHeight="1">
      <c r="A103" s="115"/>
      <c r="B103" s="119"/>
      <c r="C103" s="109" t="s">
        <v>171</v>
      </c>
      <c r="D103" s="109"/>
      <c r="E103" s="110" t="s">
        <v>104</v>
      </c>
      <c r="F103" s="110" t="s">
        <v>104</v>
      </c>
      <c r="G103" s="110" t="s">
        <v>104</v>
      </c>
      <c r="H103" s="126">
        <f>H106+H109+H112+H115+H118</f>
        <v>7216939.051953125</v>
      </c>
      <c r="I103" s="126">
        <f>I107+I110+I113+I116+I119</f>
        <v>1373000</v>
      </c>
      <c r="J103" s="126">
        <f>J107+J110+J113+J116+J119</f>
        <v>1407325</v>
      </c>
      <c r="K103" s="126">
        <f>K107+K110+K113+K116+K119</f>
        <v>1442508.125</v>
      </c>
      <c r="L103" s="126">
        <f>L107+L110+L113+L116+L119</f>
        <v>1478570.828125</v>
      </c>
      <c r="M103" s="126">
        <f>M107+M110+M113+M116+M119</f>
        <v>1515535.098828125</v>
      </c>
      <c r="N103" s="126">
        <f>N107+N110+N113+N116+N119</f>
        <v>1553423.4762988281</v>
      </c>
      <c r="O103" s="126">
        <f>O107+O110+O113+O116+O119</f>
        <v>1592259.0632062987</v>
      </c>
      <c r="P103" s="126">
        <f>P107+P110+P113+P116+P119</f>
        <v>1632065.5397864562</v>
      </c>
      <c r="Q103" s="126">
        <f>Q107+Q110+Q113+Q116+Q119</f>
        <v>1672867.1782811177</v>
      </c>
      <c r="R103" s="126">
        <f>R107+R110+R113+R116+R119</f>
        <v>1714688.8577381459</v>
      </c>
      <c r="S103" s="126">
        <f>S107+S110+S113+S116+S119</f>
        <v>1757556.0791815994</v>
      </c>
      <c r="T103" s="126">
        <f>T107+T110+T113+T116+T119</f>
        <v>1801494.9811611394</v>
      </c>
      <c r="U103" s="126">
        <f>U107+U110+U113+U116+U119</f>
        <v>1846532.3556901678</v>
      </c>
      <c r="V103" s="126">
        <f>V107+V110+V113+V116+V119</f>
        <v>20787826.58329688</v>
      </c>
      <c r="W103" s="147"/>
    </row>
    <row r="104" spans="1:23" s="149" customFormat="1" ht="27.75" customHeight="1">
      <c r="A104" s="115"/>
      <c r="B104" s="119"/>
      <c r="C104" s="109" t="s">
        <v>146</v>
      </c>
      <c r="D104" s="109"/>
      <c r="E104" s="110" t="s">
        <v>104</v>
      </c>
      <c r="F104" s="110" t="s">
        <v>104</v>
      </c>
      <c r="G104" s="110" t="s">
        <v>104</v>
      </c>
      <c r="H104" s="126">
        <f>H108+H111+H114+H117+H120</f>
        <v>0</v>
      </c>
      <c r="I104" s="126">
        <f>I108+I111+I114+I117+I120</f>
        <v>0</v>
      </c>
      <c r="J104" s="126">
        <f>J108+J111+J114+J117+J120</f>
        <v>0</v>
      </c>
      <c r="K104" s="126">
        <f>K108+K111+K114+K117+K120</f>
        <v>0</v>
      </c>
      <c r="L104" s="126">
        <f>L108+L111+L114+L117+L120</f>
        <v>0</v>
      </c>
      <c r="M104" s="126">
        <f>M108+M111+M114+M117+M120</f>
        <v>0</v>
      </c>
      <c r="N104" s="126">
        <f>N108+N111+N114+N117+N120</f>
        <v>0</v>
      </c>
      <c r="O104" s="126">
        <f>O108+O111+O114+O117+O120</f>
        <v>0</v>
      </c>
      <c r="P104" s="126">
        <f>P108+P111+P114+P117+P120</f>
        <v>0</v>
      </c>
      <c r="Q104" s="126">
        <f>Q108+Q111+Q114+Q117+Q120</f>
        <v>0</v>
      </c>
      <c r="R104" s="126">
        <f>R108+R111+R114+R117+R120</f>
        <v>0</v>
      </c>
      <c r="S104" s="126">
        <f>S108+S111+S114+S117+S120</f>
        <v>0</v>
      </c>
      <c r="T104" s="126">
        <f>T108+T111+T114+T117+T120</f>
        <v>0</v>
      </c>
      <c r="U104" s="126">
        <f>U108+U111+U114+U117+U120</f>
        <v>0</v>
      </c>
      <c r="V104" s="126">
        <f>V108+V111+V114+V117+V120</f>
        <v>0</v>
      </c>
      <c r="W104" s="147"/>
    </row>
    <row r="105" spans="1:23" ht="27.75" customHeight="1">
      <c r="A105" s="115"/>
      <c r="B105" s="119"/>
      <c r="C105" s="115" t="s">
        <v>152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78"/>
    </row>
    <row r="106" spans="1:23" s="148" customFormat="1" ht="27.75" customHeight="1">
      <c r="A106" s="115"/>
      <c r="B106" s="119"/>
      <c r="C106" s="119" t="s">
        <v>153</v>
      </c>
      <c r="D106" s="134" t="s">
        <v>203</v>
      </c>
      <c r="E106" s="125" t="s">
        <v>104</v>
      </c>
      <c r="F106" s="125" t="s">
        <v>104</v>
      </c>
      <c r="G106" s="125" t="s">
        <v>104</v>
      </c>
      <c r="H106" s="126">
        <f>H107+H108</f>
        <v>1576898.5546875</v>
      </c>
      <c r="I106" s="126">
        <f>I107+I108</f>
        <v>300000</v>
      </c>
      <c r="J106" s="126">
        <f>J107+J108</f>
        <v>307500</v>
      </c>
      <c r="K106" s="126">
        <f>K107+K108</f>
        <v>315187.5</v>
      </c>
      <c r="L106" s="126">
        <f>L107+L108</f>
        <v>323067.1875</v>
      </c>
      <c r="M106" s="126">
        <f>M107+M108</f>
        <v>331143.8671875</v>
      </c>
      <c r="N106" s="126">
        <f>N107+N108</f>
        <v>339422.4638671875</v>
      </c>
      <c r="O106" s="126">
        <f>O107+O108</f>
        <v>347908.0254638672</v>
      </c>
      <c r="P106" s="126">
        <f>P107+P108</f>
        <v>356605.7261004638</v>
      </c>
      <c r="Q106" s="126">
        <f>Q107+Q108</f>
        <v>365520.86925297545</v>
      </c>
      <c r="R106" s="126">
        <f>R107+R108</f>
        <v>374658.8909842998</v>
      </c>
      <c r="S106" s="126">
        <f>S107+S108</f>
        <v>384025.36325890734</v>
      </c>
      <c r="T106" s="126">
        <f>T107+T108</f>
        <v>393625.99734038004</v>
      </c>
      <c r="U106" s="126">
        <f>U107+U108</f>
        <v>403466.64727388957</v>
      </c>
      <c r="V106" s="126">
        <f>V107+V108</f>
        <v>4542132.538229471</v>
      </c>
      <c r="W106" s="147"/>
    </row>
    <row r="107" spans="1:23" ht="27.75" customHeight="1">
      <c r="A107" s="115"/>
      <c r="B107" s="119"/>
      <c r="C107" s="129"/>
      <c r="D107" s="129" t="s">
        <v>145</v>
      </c>
      <c r="E107" s="130" t="s">
        <v>104</v>
      </c>
      <c r="F107" s="130" t="s">
        <v>104</v>
      </c>
      <c r="G107" s="130" t="s">
        <v>104</v>
      </c>
      <c r="H107" s="116">
        <f>SUM(I107:M107)</f>
        <v>1576898.5546875</v>
      </c>
      <c r="I107" s="150">
        <v>300000</v>
      </c>
      <c r="J107" s="140">
        <f>I107*0.025+I107</f>
        <v>307500</v>
      </c>
      <c r="K107" s="140">
        <f>J107*0.025+J107</f>
        <v>315187.5</v>
      </c>
      <c r="L107" s="140">
        <f>K107*0.025+K107</f>
        <v>323067.1875</v>
      </c>
      <c r="M107" s="140">
        <f>L107*0.025+L107</f>
        <v>331143.8671875</v>
      </c>
      <c r="N107" s="140">
        <f>M107*0.025+M107</f>
        <v>339422.4638671875</v>
      </c>
      <c r="O107" s="140">
        <f>N107*0.025+N107</f>
        <v>347908.0254638672</v>
      </c>
      <c r="P107" s="140">
        <f>O107*0.025+O107</f>
        <v>356605.7261004638</v>
      </c>
      <c r="Q107" s="140">
        <f>P107*0.025+P107</f>
        <v>365520.86925297545</v>
      </c>
      <c r="R107" s="140">
        <f>Q107*0.025+Q107</f>
        <v>374658.8909842998</v>
      </c>
      <c r="S107" s="140">
        <f>R107*0.025+R107</f>
        <v>384025.36325890734</v>
      </c>
      <c r="T107" s="140">
        <f>S107*0.025+S107</f>
        <v>393625.99734038004</v>
      </c>
      <c r="U107" s="140">
        <f>T107*0.025+T107</f>
        <v>403466.64727388957</v>
      </c>
      <c r="V107" s="116">
        <f>SUM(I107:U107)</f>
        <v>4542132.538229471</v>
      </c>
      <c r="W107" s="90"/>
    </row>
    <row r="108" spans="1:23" ht="27.75" customHeight="1">
      <c r="A108" s="115"/>
      <c r="B108" s="119"/>
      <c r="C108" s="129"/>
      <c r="D108" s="129" t="s">
        <v>155</v>
      </c>
      <c r="E108" s="130" t="s">
        <v>104</v>
      </c>
      <c r="F108" s="130" t="s">
        <v>104</v>
      </c>
      <c r="G108" s="130" t="s">
        <v>104</v>
      </c>
      <c r="H108" s="116">
        <f>SUM(I108:M108)</f>
        <v>0</v>
      </c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16">
        <f>SUM(I108:U108)</f>
        <v>0</v>
      </c>
      <c r="W108" s="90"/>
    </row>
    <row r="109" spans="1:23" s="97" customFormat="1" ht="27.75" customHeight="1">
      <c r="A109" s="115"/>
      <c r="B109" s="119"/>
      <c r="C109" s="119" t="s">
        <v>156</v>
      </c>
      <c r="D109" s="134" t="s">
        <v>204</v>
      </c>
      <c r="E109" s="125" t="s">
        <v>104</v>
      </c>
      <c r="F109" s="125" t="s">
        <v>104</v>
      </c>
      <c r="G109" s="125" t="s">
        <v>104</v>
      </c>
      <c r="H109" s="126">
        <f>H110+H111</f>
        <v>2102531.40625</v>
      </c>
      <c r="I109" s="126">
        <f>I110+I111</f>
        <v>400000</v>
      </c>
      <c r="J109" s="126">
        <f>J110+J111</f>
        <v>410000</v>
      </c>
      <c r="K109" s="126">
        <f>K110+K111</f>
        <v>420250</v>
      </c>
      <c r="L109" s="126">
        <f>L110+L111</f>
        <v>430756.25</v>
      </c>
      <c r="M109" s="126">
        <f>M110+M111</f>
        <v>441525.15625</v>
      </c>
      <c r="N109" s="126">
        <f>N110+N111</f>
        <v>452563.28515625</v>
      </c>
      <c r="O109" s="126">
        <f>O110+O111</f>
        <v>463877.3672851563</v>
      </c>
      <c r="P109" s="126">
        <f>P110+P111</f>
        <v>475474.3014672852</v>
      </c>
      <c r="Q109" s="126">
        <f>Q110+Q111</f>
        <v>487361.1590039673</v>
      </c>
      <c r="R109" s="126">
        <f>R110+R111</f>
        <v>499545.1879790665</v>
      </c>
      <c r="S109" s="126">
        <f>S110+S111</f>
        <v>512033.81767854316</v>
      </c>
      <c r="T109" s="126">
        <f>T110+T111</f>
        <v>524834.6631205067</v>
      </c>
      <c r="U109" s="126">
        <f>U110+U111</f>
        <v>537955.5296985194</v>
      </c>
      <c r="V109" s="126">
        <f>V110+V111</f>
        <v>6056176.7176392935</v>
      </c>
      <c r="W109" s="85"/>
    </row>
    <row r="110" spans="1:23" ht="27.75" customHeight="1">
      <c r="A110" s="115"/>
      <c r="B110" s="119"/>
      <c r="C110" s="129"/>
      <c r="D110" s="129" t="s">
        <v>145</v>
      </c>
      <c r="E110" s="130" t="s">
        <v>104</v>
      </c>
      <c r="F110" s="130" t="s">
        <v>104</v>
      </c>
      <c r="G110" s="130" t="s">
        <v>104</v>
      </c>
      <c r="H110" s="116">
        <f>SUM(I110:M110)</f>
        <v>2102531.40625</v>
      </c>
      <c r="I110" s="150">
        <v>400000</v>
      </c>
      <c r="J110" s="140">
        <f>I110*0.025+I110</f>
        <v>410000</v>
      </c>
      <c r="K110" s="140">
        <f>J110*0.025+J110</f>
        <v>420250</v>
      </c>
      <c r="L110" s="140">
        <f>K110*0.025+K110</f>
        <v>430756.25</v>
      </c>
      <c r="M110" s="140">
        <f>L110*0.025+L110</f>
        <v>441525.15625</v>
      </c>
      <c r="N110" s="140">
        <f>M110*0.025+M110</f>
        <v>452563.28515625</v>
      </c>
      <c r="O110" s="140">
        <f>N110*0.025+N110</f>
        <v>463877.3672851563</v>
      </c>
      <c r="P110" s="140">
        <f>O110*0.025+O110</f>
        <v>475474.3014672852</v>
      </c>
      <c r="Q110" s="140">
        <f>P110*0.025+P110</f>
        <v>487361.1590039673</v>
      </c>
      <c r="R110" s="140">
        <f>Q110*0.025+Q110</f>
        <v>499545.1879790665</v>
      </c>
      <c r="S110" s="140">
        <f>R110*0.025+R110</f>
        <v>512033.81767854316</v>
      </c>
      <c r="T110" s="140">
        <f>S110*0.025+S110</f>
        <v>524834.6631205067</v>
      </c>
      <c r="U110" s="140">
        <f>T110*0.025+T110</f>
        <v>537955.5296985194</v>
      </c>
      <c r="V110" s="116">
        <f>SUM(I110:U110)</f>
        <v>6056176.7176392935</v>
      </c>
      <c r="W110" s="90"/>
    </row>
    <row r="111" spans="1:23" ht="27.75" customHeight="1">
      <c r="A111" s="115"/>
      <c r="B111" s="119"/>
      <c r="C111" s="129"/>
      <c r="D111" s="129" t="s">
        <v>155</v>
      </c>
      <c r="E111" s="130" t="s">
        <v>104</v>
      </c>
      <c r="F111" s="130" t="s">
        <v>104</v>
      </c>
      <c r="G111" s="130" t="s">
        <v>104</v>
      </c>
      <c r="H111" s="116">
        <f>SUM(I111:M111)</f>
        <v>0</v>
      </c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16">
        <f>SUM(I111:U111)</f>
        <v>0</v>
      </c>
      <c r="W111" s="90"/>
    </row>
    <row r="112" spans="1:23" ht="36.75">
      <c r="A112" s="115"/>
      <c r="B112" s="119"/>
      <c r="C112" s="119" t="s">
        <v>158</v>
      </c>
      <c r="D112" s="134" t="s">
        <v>205</v>
      </c>
      <c r="E112" s="130" t="s">
        <v>104</v>
      </c>
      <c r="F112" s="130" t="s">
        <v>104</v>
      </c>
      <c r="G112" s="130" t="s">
        <v>104</v>
      </c>
      <c r="H112" s="126">
        <f>H113+H114</f>
        <v>1944841.55078125</v>
      </c>
      <c r="I112" s="126">
        <f>I113+I114</f>
        <v>370000</v>
      </c>
      <c r="J112" s="126">
        <f>J113+J114</f>
        <v>379250</v>
      </c>
      <c r="K112" s="126">
        <f>K113+K114</f>
        <v>388731.25</v>
      </c>
      <c r="L112" s="126">
        <f>L113+L114</f>
        <v>398449.53125</v>
      </c>
      <c r="M112" s="126">
        <f>M113+M114</f>
        <v>408410.76953125</v>
      </c>
      <c r="N112" s="126">
        <f>N113+N114</f>
        <v>418621.03876953124</v>
      </c>
      <c r="O112" s="126">
        <f>O113+O114</f>
        <v>429086.56473876955</v>
      </c>
      <c r="P112" s="126">
        <f>P113+P114</f>
        <v>439813.7288572388</v>
      </c>
      <c r="Q112" s="126">
        <f>Q113+Q114</f>
        <v>450809.07207866973</v>
      </c>
      <c r="R112" s="126">
        <f>R113+R114</f>
        <v>462079.29888063646</v>
      </c>
      <c r="S112" s="126">
        <f>S113+S114</f>
        <v>473631.28135265235</v>
      </c>
      <c r="T112" s="126">
        <f>T113+T114</f>
        <v>485472.0633864687</v>
      </c>
      <c r="U112" s="126">
        <f>U113+U114</f>
        <v>497608.8649711304</v>
      </c>
      <c r="V112" s="126">
        <f>V113+V114</f>
        <v>5601963.4638163475</v>
      </c>
      <c r="W112" s="85"/>
    </row>
    <row r="113" spans="1:23" ht="27.75" customHeight="1">
      <c r="A113" s="115"/>
      <c r="B113" s="119"/>
      <c r="C113" s="129"/>
      <c r="D113" s="129" t="s">
        <v>145</v>
      </c>
      <c r="E113" s="130" t="s">
        <v>104</v>
      </c>
      <c r="F113" s="130" t="s">
        <v>104</v>
      </c>
      <c r="G113" s="130" t="s">
        <v>104</v>
      </c>
      <c r="H113" s="116">
        <f>SUM(I113:M113)</f>
        <v>1944841.55078125</v>
      </c>
      <c r="I113" s="150">
        <v>370000</v>
      </c>
      <c r="J113" s="140">
        <f>I113*0.025+I113</f>
        <v>379250</v>
      </c>
      <c r="K113" s="140">
        <f>J113*0.025+J113</f>
        <v>388731.25</v>
      </c>
      <c r="L113" s="140">
        <f>K113*0.025+K113</f>
        <v>398449.53125</v>
      </c>
      <c r="M113" s="140">
        <f>L113*0.025+L113</f>
        <v>408410.76953125</v>
      </c>
      <c r="N113" s="140">
        <f>M113*0.025+M113</f>
        <v>418621.03876953124</v>
      </c>
      <c r="O113" s="140">
        <f>N113*0.025+N113</f>
        <v>429086.56473876955</v>
      </c>
      <c r="P113" s="140">
        <f>O113*0.025+O113</f>
        <v>439813.7288572388</v>
      </c>
      <c r="Q113" s="140">
        <f>P113*0.025+P113</f>
        <v>450809.07207866973</v>
      </c>
      <c r="R113" s="140">
        <f>Q113*0.025+Q113</f>
        <v>462079.29888063646</v>
      </c>
      <c r="S113" s="140">
        <f>R113*0.025+R113</f>
        <v>473631.28135265235</v>
      </c>
      <c r="T113" s="140">
        <f>S113*0.025+S113</f>
        <v>485472.0633864687</v>
      </c>
      <c r="U113" s="140">
        <f>T113*0.025+T113</f>
        <v>497608.8649711304</v>
      </c>
      <c r="V113" s="116">
        <f>SUM(I113:U113)</f>
        <v>5601963.4638163475</v>
      </c>
      <c r="W113" s="90"/>
    </row>
    <row r="114" spans="1:23" ht="27.75" customHeight="1">
      <c r="A114" s="115"/>
      <c r="B114" s="119"/>
      <c r="C114" s="129"/>
      <c r="D114" s="129" t="s">
        <v>155</v>
      </c>
      <c r="E114" s="130" t="s">
        <v>104</v>
      </c>
      <c r="F114" s="130" t="s">
        <v>104</v>
      </c>
      <c r="G114" s="130" t="s">
        <v>104</v>
      </c>
      <c r="H114" s="116">
        <f>SUM(I114:M114)</f>
        <v>0</v>
      </c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16">
        <f>SUM(I114:U114)</f>
        <v>0</v>
      </c>
      <c r="W114" s="90"/>
    </row>
    <row r="115" spans="1:23" s="95" customFormat="1" ht="27.75" customHeight="1">
      <c r="A115" s="115"/>
      <c r="B115" s="119"/>
      <c r="C115" s="119" t="s">
        <v>162</v>
      </c>
      <c r="D115" s="134" t="s">
        <v>206</v>
      </c>
      <c r="E115" s="130" t="s">
        <v>104</v>
      </c>
      <c r="F115" s="130" t="s">
        <v>104</v>
      </c>
      <c r="G115" s="130" t="s">
        <v>104</v>
      </c>
      <c r="H115" s="126">
        <f>H116+H117</f>
        <v>1172161.258984375</v>
      </c>
      <c r="I115" s="126">
        <f>I116+I117</f>
        <v>223000</v>
      </c>
      <c r="J115" s="126">
        <f>J116+J117</f>
        <v>228575</v>
      </c>
      <c r="K115" s="126">
        <f>K116+K117</f>
        <v>234289.375</v>
      </c>
      <c r="L115" s="126">
        <f>L116+L117</f>
        <v>240146.609375</v>
      </c>
      <c r="M115" s="126">
        <f>M116+M117</f>
        <v>246150.274609375</v>
      </c>
      <c r="N115" s="126">
        <f>N116+N117</f>
        <v>252304.03147460936</v>
      </c>
      <c r="O115" s="126">
        <f>O116+O117</f>
        <v>258611.6322614746</v>
      </c>
      <c r="P115" s="126">
        <f>P116+P117</f>
        <v>265076.92306801147</v>
      </c>
      <c r="Q115" s="126">
        <f>Q116+Q117</f>
        <v>271703.8461447118</v>
      </c>
      <c r="R115" s="126">
        <f>R116+R117</f>
        <v>278496.44229832955</v>
      </c>
      <c r="S115" s="126">
        <f>S116+S117</f>
        <v>285458.8533557878</v>
      </c>
      <c r="T115" s="126">
        <f>T116+T117</f>
        <v>292595.3246896825</v>
      </c>
      <c r="U115" s="126">
        <f>U116+U117</f>
        <v>299910.2078069246</v>
      </c>
      <c r="V115" s="126">
        <f>V116+V117</f>
        <v>3376318.520083907</v>
      </c>
      <c r="W115" s="85"/>
    </row>
    <row r="116" spans="1:23" s="95" customFormat="1" ht="27.75" customHeight="1">
      <c r="A116" s="115"/>
      <c r="B116" s="119"/>
      <c r="C116" s="129"/>
      <c r="D116" s="129" t="s">
        <v>145</v>
      </c>
      <c r="E116" s="130" t="s">
        <v>104</v>
      </c>
      <c r="F116" s="130" t="s">
        <v>104</v>
      </c>
      <c r="G116" s="130" t="s">
        <v>104</v>
      </c>
      <c r="H116" s="116">
        <f>SUM(I116:M116)</f>
        <v>1172161.258984375</v>
      </c>
      <c r="I116" s="131">
        <v>223000</v>
      </c>
      <c r="J116" s="140">
        <f>I116*0.025+I116</f>
        <v>228575</v>
      </c>
      <c r="K116" s="140">
        <f>J116*0.025+J116</f>
        <v>234289.375</v>
      </c>
      <c r="L116" s="140">
        <f>K116*0.025+K116</f>
        <v>240146.609375</v>
      </c>
      <c r="M116" s="140">
        <f>L116*0.025+L116</f>
        <v>246150.274609375</v>
      </c>
      <c r="N116" s="140">
        <f>M116*0.025+M116</f>
        <v>252304.03147460936</v>
      </c>
      <c r="O116" s="140">
        <f>N116*0.025+N116</f>
        <v>258611.6322614746</v>
      </c>
      <c r="P116" s="140">
        <f>O116*0.025+O116</f>
        <v>265076.92306801147</v>
      </c>
      <c r="Q116" s="140">
        <f>P116*0.025+P116</f>
        <v>271703.8461447118</v>
      </c>
      <c r="R116" s="140">
        <f>Q116*0.025+Q116</f>
        <v>278496.44229832955</v>
      </c>
      <c r="S116" s="140">
        <f>R116*0.025+R116</f>
        <v>285458.8533557878</v>
      </c>
      <c r="T116" s="140">
        <f>S116*0.025+S116</f>
        <v>292595.3246896825</v>
      </c>
      <c r="U116" s="140">
        <f>T116*0.025+T116</f>
        <v>299910.2078069246</v>
      </c>
      <c r="V116" s="116">
        <f>SUM(I116:U116)</f>
        <v>3376318.520083907</v>
      </c>
      <c r="W116" s="90"/>
    </row>
    <row r="117" spans="1:23" s="95" customFormat="1" ht="27.75" customHeight="1">
      <c r="A117" s="115"/>
      <c r="B117" s="119"/>
      <c r="C117" s="129"/>
      <c r="D117" s="129" t="s">
        <v>155</v>
      </c>
      <c r="E117" s="130" t="s">
        <v>104</v>
      </c>
      <c r="F117" s="130" t="s">
        <v>104</v>
      </c>
      <c r="G117" s="130" t="s">
        <v>104</v>
      </c>
      <c r="H117" s="116">
        <f>SUM(I117:M117)</f>
        <v>0</v>
      </c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16">
        <f>SUM(I117:U117)</f>
        <v>0</v>
      </c>
      <c r="W117" s="90"/>
    </row>
    <row r="118" spans="1:23" s="95" customFormat="1" ht="19.5">
      <c r="A118" s="115"/>
      <c r="B118" s="119"/>
      <c r="C118" s="119" t="s">
        <v>181</v>
      </c>
      <c r="D118" s="134" t="s">
        <v>207</v>
      </c>
      <c r="E118" s="130" t="s">
        <v>104</v>
      </c>
      <c r="F118" s="130" t="s">
        <v>104</v>
      </c>
      <c r="G118" s="130" t="s">
        <v>104</v>
      </c>
      <c r="H118" s="126">
        <f>H119+H120</f>
        <v>420506.28125</v>
      </c>
      <c r="I118" s="126">
        <f>I119+I120</f>
        <v>80000</v>
      </c>
      <c r="J118" s="126">
        <f>J119+J120</f>
        <v>82000</v>
      </c>
      <c r="K118" s="126">
        <f>K119+K120</f>
        <v>84050</v>
      </c>
      <c r="L118" s="126">
        <f>L119+L120</f>
        <v>86151.25</v>
      </c>
      <c r="M118" s="126">
        <f>M119+M120</f>
        <v>88305.03125</v>
      </c>
      <c r="N118" s="126">
        <f>N119+N120</f>
        <v>90512.65703125</v>
      </c>
      <c r="O118" s="126">
        <f>O119+O120</f>
        <v>92775.47345703124</v>
      </c>
      <c r="P118" s="126">
        <f>P119+P120</f>
        <v>95094.86029345702</v>
      </c>
      <c r="Q118" s="126">
        <f>Q119+Q120</f>
        <v>97472.23180079345</v>
      </c>
      <c r="R118" s="126">
        <f>R119+R120</f>
        <v>99909.0375958133</v>
      </c>
      <c r="S118" s="126">
        <f>S119+S120</f>
        <v>102406.76353570863</v>
      </c>
      <c r="T118" s="126">
        <f>T119+T120</f>
        <v>104966.93262410135</v>
      </c>
      <c r="U118" s="126">
        <f>U119+U120</f>
        <v>107591.10593970388</v>
      </c>
      <c r="V118" s="126">
        <f>V119+V120</f>
        <v>1211235.343527859</v>
      </c>
      <c r="W118" s="85"/>
    </row>
    <row r="119" spans="1:23" s="95" customFormat="1" ht="27.75" customHeight="1">
      <c r="A119" s="115"/>
      <c r="B119" s="119"/>
      <c r="C119" s="129"/>
      <c r="D119" s="129" t="s">
        <v>145</v>
      </c>
      <c r="E119" s="130" t="s">
        <v>104</v>
      </c>
      <c r="F119" s="130" t="s">
        <v>104</v>
      </c>
      <c r="G119" s="130" t="s">
        <v>104</v>
      </c>
      <c r="H119" s="116">
        <f>SUM(I119:M119)</f>
        <v>420506.28125</v>
      </c>
      <c r="I119" s="131">
        <v>80000</v>
      </c>
      <c r="J119" s="140">
        <f>I119*0.025+I119</f>
        <v>82000</v>
      </c>
      <c r="K119" s="140">
        <f>J119*0.025+J119</f>
        <v>84050</v>
      </c>
      <c r="L119" s="140">
        <f>K119*0.025+K119</f>
        <v>86151.25</v>
      </c>
      <c r="M119" s="140">
        <f>L119*0.025+L119</f>
        <v>88305.03125</v>
      </c>
      <c r="N119" s="140">
        <f>M119*0.025+M119</f>
        <v>90512.65703125</v>
      </c>
      <c r="O119" s="140">
        <f>N119*0.025+N119</f>
        <v>92775.47345703124</v>
      </c>
      <c r="P119" s="140">
        <f>O119*0.025+O119</f>
        <v>95094.86029345702</v>
      </c>
      <c r="Q119" s="140">
        <f>P119*0.025+P119</f>
        <v>97472.23180079345</v>
      </c>
      <c r="R119" s="140">
        <f>Q119*0.025+Q119</f>
        <v>99909.0375958133</v>
      </c>
      <c r="S119" s="140">
        <f>R119*0.025+R119</f>
        <v>102406.76353570863</v>
      </c>
      <c r="T119" s="140">
        <f>S119*0.025+S119</f>
        <v>104966.93262410135</v>
      </c>
      <c r="U119" s="140">
        <f>T119*0.025+T119</f>
        <v>107591.10593970388</v>
      </c>
      <c r="V119" s="116">
        <f>SUM(I119:U119)</f>
        <v>1211235.343527859</v>
      </c>
      <c r="W119" s="90"/>
    </row>
    <row r="120" spans="1:23" s="95" customFormat="1" ht="27.75" customHeight="1">
      <c r="A120" s="115"/>
      <c r="B120" s="119"/>
      <c r="C120" s="129"/>
      <c r="D120" s="129" t="s">
        <v>155</v>
      </c>
      <c r="E120" s="130" t="s">
        <v>104</v>
      </c>
      <c r="F120" s="130" t="s">
        <v>104</v>
      </c>
      <c r="G120" s="130" t="s">
        <v>104</v>
      </c>
      <c r="H120" s="116">
        <f>SUM(I120:M120)</f>
        <v>0</v>
      </c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16">
        <f>SUM(I120:U120)</f>
        <v>0</v>
      </c>
      <c r="W120" s="90"/>
    </row>
    <row r="121" spans="1:23" s="155" customFormat="1" ht="12.75" customHeight="1" hidden="1">
      <c r="A121" s="115"/>
      <c r="B121" s="151" t="s">
        <v>172</v>
      </c>
      <c r="C121" s="152" t="s">
        <v>173</v>
      </c>
      <c r="D121" s="152"/>
      <c r="E121" s="153" t="s">
        <v>104</v>
      </c>
      <c r="F121" s="153" t="s">
        <v>104</v>
      </c>
      <c r="G121" s="153" t="s">
        <v>104</v>
      </c>
      <c r="H121" s="154">
        <f>H122+H123</f>
        <v>0</v>
      </c>
      <c r="I121" s="154">
        <f>I122+I123</f>
        <v>0</v>
      </c>
      <c r="J121" s="154">
        <f>J122+J123</f>
        <v>0</v>
      </c>
      <c r="K121" s="154">
        <f>K122+K123</f>
        <v>0</v>
      </c>
      <c r="L121" s="154">
        <f>L122+L123</f>
        <v>0</v>
      </c>
      <c r="M121" s="154">
        <f>M122+M123</f>
        <v>0</v>
      </c>
      <c r="N121" s="154">
        <f>N122+N123</f>
        <v>0</v>
      </c>
      <c r="O121" s="154">
        <f>O122+O123</f>
        <v>0</v>
      </c>
      <c r="P121" s="154">
        <f>P122+P123</f>
        <v>0</v>
      </c>
      <c r="Q121" s="154">
        <f>Q122+Q123</f>
        <v>0</v>
      </c>
      <c r="R121" s="154">
        <f>R122+R123</f>
        <v>0</v>
      </c>
      <c r="S121" s="154">
        <f>S122+S123</f>
        <v>0</v>
      </c>
      <c r="T121" s="154">
        <f>T122+T123</f>
        <v>0</v>
      </c>
      <c r="U121" s="154">
        <f>U122+U123</f>
        <v>0</v>
      </c>
      <c r="V121" s="154">
        <f>V122+V123</f>
        <v>0</v>
      </c>
      <c r="W121" s="127"/>
    </row>
    <row r="122" spans="1:23" ht="12.75" customHeight="1" hidden="1">
      <c r="A122" s="115"/>
      <c r="B122" s="151"/>
      <c r="C122" s="156" t="s">
        <v>153</v>
      </c>
      <c r="D122" s="157" t="s">
        <v>174</v>
      </c>
      <c r="E122" s="158" t="s">
        <v>104</v>
      </c>
      <c r="F122" s="158" t="s">
        <v>104</v>
      </c>
      <c r="G122" s="158" t="s">
        <v>104</v>
      </c>
      <c r="H122" s="159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/>
      <c r="O122" s="159"/>
      <c r="P122" s="159"/>
      <c r="Q122" s="159"/>
      <c r="R122" s="159"/>
      <c r="S122" s="159"/>
      <c r="T122" s="159"/>
      <c r="U122" s="159"/>
      <c r="V122" s="160">
        <f>SUM(I122:M122)</f>
        <v>0</v>
      </c>
      <c r="W122" s="90"/>
    </row>
    <row r="123" spans="1:23" ht="12.75" customHeight="1" hidden="1">
      <c r="A123" s="115"/>
      <c r="B123" s="151"/>
      <c r="C123" s="156" t="s">
        <v>156</v>
      </c>
      <c r="D123" s="157" t="s">
        <v>174</v>
      </c>
      <c r="E123" s="158" t="s">
        <v>104</v>
      </c>
      <c r="F123" s="158" t="s">
        <v>104</v>
      </c>
      <c r="G123" s="158" t="s">
        <v>104</v>
      </c>
      <c r="H123" s="159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/>
      <c r="O123" s="159"/>
      <c r="P123" s="159"/>
      <c r="Q123" s="159"/>
      <c r="R123" s="159"/>
      <c r="S123" s="159"/>
      <c r="T123" s="159"/>
      <c r="U123" s="159"/>
      <c r="V123" s="160">
        <f>SUM(I123:M123)</f>
        <v>0</v>
      </c>
      <c r="W123" s="90"/>
    </row>
    <row r="124" spans="5:23" ht="13.5">
      <c r="E124" s="62"/>
      <c r="F124" s="62"/>
      <c r="G124" s="62"/>
      <c r="H124" s="105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5:7" ht="13.5">
      <c r="E125" s="62"/>
      <c r="F125" s="62"/>
      <c r="G125" s="62"/>
    </row>
    <row r="126" spans="5:7" ht="13.5">
      <c r="E126" s="62"/>
      <c r="F126" s="62"/>
      <c r="G126" s="62"/>
    </row>
    <row r="127" spans="5:7" ht="13.5">
      <c r="E127" s="62"/>
      <c r="F127" s="62"/>
      <c r="G127" s="62"/>
    </row>
    <row r="128" spans="5:7" ht="13.5">
      <c r="E128" s="62"/>
      <c r="F128" s="62"/>
      <c r="G128" s="62"/>
    </row>
    <row r="129" spans="5:7" ht="13.5">
      <c r="E129" s="62"/>
      <c r="F129" s="62"/>
      <c r="G129" s="62"/>
    </row>
    <row r="130" spans="5:7" ht="13.5">
      <c r="E130" s="62"/>
      <c r="F130" s="62"/>
      <c r="G130" s="62"/>
    </row>
    <row r="131" spans="5:7" ht="13.5">
      <c r="E131" s="62"/>
      <c r="F131" s="62"/>
      <c r="G131" s="62"/>
    </row>
    <row r="132" spans="5:7" ht="13.5">
      <c r="E132" s="62"/>
      <c r="F132" s="62"/>
      <c r="G132" s="62"/>
    </row>
  </sheetData>
  <mergeCells count="36">
    <mergeCell ref="A1:V1"/>
    <mergeCell ref="A2:A3"/>
    <mergeCell ref="B2:D3"/>
    <mergeCell ref="E2:E3"/>
    <mergeCell ref="F2:G2"/>
    <mergeCell ref="H2:H3"/>
    <mergeCell ref="I2:U2"/>
    <mergeCell ref="V2:V3"/>
    <mergeCell ref="B4:D4"/>
    <mergeCell ref="B5:D5"/>
    <mergeCell ref="B6:D6"/>
    <mergeCell ref="B7:D7"/>
    <mergeCell ref="A8:A123"/>
    <mergeCell ref="B8:D8"/>
    <mergeCell ref="B9:B63"/>
    <mergeCell ref="C9:D9"/>
    <mergeCell ref="C10:D10"/>
    <mergeCell ref="C11:D11"/>
    <mergeCell ref="C12:D12"/>
    <mergeCell ref="B64:B73"/>
    <mergeCell ref="C64:D64"/>
    <mergeCell ref="C65:D65"/>
    <mergeCell ref="C66:D66"/>
    <mergeCell ref="C67:D67"/>
    <mergeCell ref="B74:B101"/>
    <mergeCell ref="C74:D74"/>
    <mergeCell ref="C75:D75"/>
    <mergeCell ref="C76:D76"/>
    <mergeCell ref="C77:D77"/>
    <mergeCell ref="B102:B120"/>
    <mergeCell ref="C102:D102"/>
    <mergeCell ref="C103:D103"/>
    <mergeCell ref="C104:D104"/>
    <mergeCell ref="C105:D105"/>
    <mergeCell ref="B121:B123"/>
    <mergeCell ref="C121:D121"/>
  </mergeCells>
  <printOptions horizontalCentered="1"/>
  <pageMargins left="0.5902777777777778" right="0.5902777777777778" top="1.0090277777777779" bottom="0.875" header="0.5902777777777778" footer="0.5902777777777778"/>
  <pageSetup horizontalDpi="300" verticalDpi="300" orientation="landscape" paperSize="9" scale="32"/>
  <headerFooter alignWithMargins="0">
    <oddHeader>&amp;R&amp;"Times New Roman,Normalny"&amp;16Załącznik nr 2a do uchwały Nr ...../2010 z dnia .................w sprawie wieloletniej prognozy finansowej Gminy Barlinek</oddHeader>
    <oddFooter>&amp;C&amp;"Times New Roman,Normalny"&amp;12Strona &amp;P z &amp;N</oddFooter>
  </headerFooter>
  <rowBreaks count="2" manualBreakCount="2">
    <brk id="48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/>
  <cp:lastPrinted>2010-11-15T09:59:26Z</cp:lastPrinted>
  <dcterms:created xsi:type="dcterms:W3CDTF">2010-07-28T16:34:46Z</dcterms:created>
  <dcterms:modified xsi:type="dcterms:W3CDTF">2010-11-16T06:12:02Z</dcterms:modified>
  <cp:category/>
  <cp:version/>
  <cp:contentType/>
  <cp:contentStatus/>
  <cp:revision>141</cp:revision>
</cp:coreProperties>
</file>