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poreczenia" sheetId="1" r:id="rId1"/>
    <sheet name="kredyty_2" sheetId="2" r:id="rId2"/>
    <sheet name="informacja" sheetId="3" r:id="rId3"/>
  </sheets>
  <definedNames>
    <definedName name="_xlnm.Print_Area" localSheetId="2">'informacja'!$A$1:$T$69</definedName>
    <definedName name="Excel_BuiltIn_Print_Area_2">#REF!</definedName>
    <definedName name="Excel_BuiltIn_Print_Area_17">#REF!</definedName>
    <definedName name="Excel_BuiltIn_Print_Area_18">#REF!</definedName>
    <definedName name="Excel_BuiltIn_Print_Area_19">#REF!</definedName>
    <definedName name="Excel_BuiltIn_Print_Area_2_1">#REF!</definedName>
    <definedName name="Excel_BuiltIn_Print_Area_6">#REF!</definedName>
    <definedName name="Excel_BuiltIn_Print_Area_7">#REF!</definedName>
    <definedName name="Excel_BuiltIn_Print_Area_8">#REF!</definedName>
    <definedName name="Excel_BuiltIn_Print_Area_10_1">#REF!</definedName>
    <definedName name="Excel_BuiltIn_Print_Area_11">#REF!</definedName>
    <definedName name="Excel_BuiltIn_Print_Area_11_1">#REF!</definedName>
    <definedName name="Excel_BuiltIn_Print_Area_11_1_1">#REF!</definedName>
    <definedName name="Excel_BuiltIn_Print_Area_12">#REF!</definedName>
    <definedName name="Excel_BuiltIn_Print_Area_13_1">#REF!</definedName>
    <definedName name="Excel_BuiltIn_Print_Area_14_1">#REF!</definedName>
    <definedName name="Excel_BuiltIn_Print_Area_17_1">#REF!</definedName>
    <definedName name="Excel_BuiltIn_Print_Area_18_1">#REF!</definedName>
    <definedName name="Excel_BuiltIn_Print_Area_18_1_1">#REF!</definedName>
    <definedName name="Excel_BuiltIn_Print_Area_3_1">#REF!</definedName>
    <definedName name="Excel_BuiltIn_Print_Area_6_1">#REF!</definedName>
    <definedName name="Excel_BuiltIn_Print_Area_7_1">#REF!</definedName>
    <definedName name="Excel_BuiltIn_Print_Area_8_1">#REF!</definedName>
  </definedNames>
  <calcPr fullCalcOnLoad="1"/>
</workbook>
</file>

<file path=xl/sharedStrings.xml><?xml version="1.0" encoding="utf-8"?>
<sst xmlns="http://schemas.openxmlformats.org/spreadsheetml/2006/main" count="196" uniqueCount="106">
  <si>
    <t>PORĘCZENIA UDZIELONE PRZEZ URZĄD MIASTA W BARLINKU</t>
  </si>
  <si>
    <t>Nazwa podmiotu</t>
  </si>
  <si>
    <t>kwota poręczenia</t>
  </si>
  <si>
    <t>rok spłaty</t>
  </si>
  <si>
    <t>odsetki</t>
  </si>
  <si>
    <t>kapitał</t>
  </si>
  <si>
    <t>BOK</t>
  </si>
  <si>
    <t>PEC SP ZOO</t>
  </si>
  <si>
    <t>SP ZOZ</t>
  </si>
  <si>
    <t>SMWL DOM</t>
  </si>
  <si>
    <t>BTBS SP ZOO</t>
  </si>
  <si>
    <t xml:space="preserve">SMWL DOM </t>
  </si>
  <si>
    <t>WEKSEL-Nordic Walking</t>
  </si>
  <si>
    <t>OGÓŁEM</t>
  </si>
  <si>
    <t>razem</t>
  </si>
  <si>
    <t>Spłata rat kredytu i odsetek</t>
  </si>
  <si>
    <t>2009 r.</t>
  </si>
  <si>
    <t>2010 r.</t>
  </si>
  <si>
    <t>KREDYTY</t>
  </si>
  <si>
    <t>GBS Barlinek</t>
  </si>
  <si>
    <t>GBW Poznań</t>
  </si>
  <si>
    <t>BGK Szczecin</t>
  </si>
  <si>
    <t>Kredyt EBI 2010</t>
  </si>
  <si>
    <t>pożyczka WFOŚiGW</t>
  </si>
  <si>
    <t>kredyt 2011</t>
  </si>
  <si>
    <t>RAZEM</t>
  </si>
  <si>
    <t>ODSETKI</t>
  </si>
  <si>
    <t>Kredyt 2010</t>
  </si>
  <si>
    <t>Spłata obligacji i odsetek</t>
  </si>
  <si>
    <t>Obligacje</t>
  </si>
  <si>
    <t>BS W-wa</t>
  </si>
  <si>
    <t>suma obligacji i kredytów (kapitał)</t>
  </si>
  <si>
    <r>
      <t xml:space="preserve">     </t>
    </r>
    <r>
      <rPr>
        <i/>
        <sz val="8"/>
        <rFont val="Arial CE"/>
        <family val="2"/>
      </rPr>
      <t>(pieczęć  j.s.t.)</t>
    </r>
  </si>
  <si>
    <t>Informacja finansowa Burmistrza Barlinka dotycząca  możliwości spłaty obligacji  w kwocie 11.000.000 zł,-  przeznaczonych na sfinansowanie planowany deficyt finansowy,
spłata wcześniej zaciągniętych zobowiązań przewidzianej do spłaty  w latach 2012-2022</t>
  </si>
  <si>
    <t>kwiecień</t>
  </si>
  <si>
    <t xml:space="preserve">  w zł  </t>
  </si>
  <si>
    <t>Lp.</t>
  </si>
  <si>
    <t>Wyszczególnienie</t>
  </si>
  <si>
    <t>Wykonanie</t>
  </si>
  <si>
    <t>Przewidywane wykonanie</t>
  </si>
  <si>
    <t>2007 r.</t>
  </si>
  <si>
    <t>2008 r.</t>
  </si>
  <si>
    <r>
      <t xml:space="preserve">A. DOCHODY </t>
    </r>
    <r>
      <rPr>
        <sz val="10"/>
        <rFont val="Arial CE"/>
        <family val="2"/>
      </rPr>
      <t>(A1+A2)</t>
    </r>
  </si>
  <si>
    <t>A1. Dochody bieżące</t>
  </si>
  <si>
    <t>A2. Dochody majątkowe</t>
  </si>
  <si>
    <t>w tym ze sprzedaży majątku</t>
  </si>
  <si>
    <r>
      <t xml:space="preserve">B. WYDATKI  </t>
    </r>
    <r>
      <rPr>
        <sz val="10"/>
        <rFont val="Arial CE"/>
        <family val="2"/>
      </rPr>
      <t>(B1+B2)</t>
    </r>
  </si>
  <si>
    <t>B1. Wydatki bieżące</t>
  </si>
  <si>
    <t>B2. Wydatki majątkowe</t>
  </si>
  <si>
    <t>C. NADWYŻKA / DEFICYT (A-B)</t>
  </si>
  <si>
    <t>D. FINANSOWANIE (D1-D2)</t>
  </si>
  <si>
    <r>
      <t>D1. Przychody ogółem</t>
    </r>
    <r>
      <rPr>
        <b/>
        <sz val="9"/>
        <rFont val="Arial CE"/>
        <family val="2"/>
      </rPr>
      <t xml:space="preserve"> </t>
    </r>
    <r>
      <rPr>
        <sz val="9"/>
        <rFont val="Arial CE"/>
        <family val="2"/>
      </rPr>
      <t>z tego:</t>
    </r>
  </si>
  <si>
    <t>D11. kredyty
 w tym:</t>
  </si>
  <si>
    <t>D111. zaciągnięte w związku z umową zawartą z podmiotem dysponującym środkami, o których mowa w art. 5 ust. 3 ufp</t>
  </si>
  <si>
    <t>D12. pożyczki
w tym:</t>
  </si>
  <si>
    <t>D121. zaciągnięte w związku z umową zawartą z podmiotem dysponującym środkami, o których mowa w art. 5 ust. 3 ufp</t>
  </si>
  <si>
    <t>D13. spłata pożyczek udzielonych</t>
  </si>
  <si>
    <t>D14. nadwyżka z lat ubiegłych
w tym:</t>
  </si>
  <si>
    <t>D141. środki na pokrycie deficytu</t>
  </si>
  <si>
    <t>D15. obligacje jednostek samorządowych oraz związków komunalnych
w tym:</t>
  </si>
  <si>
    <t>D151. wyemitowane w związku z umową zawartą z podmiotem dysponującym środkami, o których mowa w art. 5 ust. 3 ufp</t>
  </si>
  <si>
    <t>D16. prywatyzacja majątku jst</t>
  </si>
  <si>
    <t>D17. inne źródła
w tym:</t>
  </si>
  <si>
    <t>D171. środki na pokrycie deficytu</t>
  </si>
  <si>
    <r>
      <t>D2. Rozchody ogó</t>
    </r>
    <r>
      <rPr>
        <b/>
        <sz val="9"/>
        <rFont val="Times New Roman"/>
        <family val="1"/>
      </rPr>
      <t>łem</t>
    </r>
    <r>
      <rPr>
        <b/>
        <sz val="9"/>
        <rFont val="Arial CE"/>
        <family val="2"/>
      </rPr>
      <t xml:space="preserve">  z tego:</t>
    </r>
  </si>
  <si>
    <t>D21. spłaty kredytów
 w tym:</t>
  </si>
  <si>
    <t>D211. zaciągniętych w związku z umową zawartą z podmiotem dysponującym środkami, o których mowa w art. 5 ust. 3 ufp</t>
  </si>
  <si>
    <t>D22. spłaty pożyczek
w tym:</t>
  </si>
  <si>
    <t>D221. zaciągniętych w związku z umową zawartą z podmiotem dysponującym środkami, o których mowa w art. 5 ust. 3 ufp</t>
  </si>
  <si>
    <t>D23. pożyczki (udzielone)</t>
  </si>
  <si>
    <t>D24. lokaty w bankach</t>
  </si>
  <si>
    <t>D25. wykup obligacji samorządowych
w tym:</t>
  </si>
  <si>
    <t>D251. wyemitowanych w związku z umową zawartą z podmiotem dysponującym środkami, o których mowa w art. 5 ust. 3 ufp.</t>
  </si>
  <si>
    <t>D26. inne cele</t>
  </si>
  <si>
    <t>E. Umorzenie pożyczki</t>
  </si>
  <si>
    <r>
      <t>F. DŁUG NA KONIEC ROKU</t>
    </r>
    <r>
      <rPr>
        <b/>
        <sz val="9"/>
        <rFont val="Times New Roman"/>
        <family val="1"/>
      </rPr>
      <t xml:space="preserve"> </t>
    </r>
    <r>
      <rPr>
        <b/>
        <sz val="9"/>
        <rFont val="Arial CE"/>
        <family val="2"/>
      </rPr>
      <t>(1+2+3+4+5+6):</t>
    </r>
  </si>
  <si>
    <t xml:space="preserve"> 1) wyemitowane papiery wartościowe, </t>
  </si>
  <si>
    <t xml:space="preserve"> 2) zaciągnięte kredyty,</t>
  </si>
  <si>
    <t xml:space="preserve"> 3) zaciągnięte pożyczki,</t>
  </si>
  <si>
    <r>
      <t xml:space="preserve"> 4) przyjęte depozyty</t>
    </r>
    <r>
      <rPr>
        <b/>
        <vertAlign val="superscript"/>
        <sz val="12"/>
        <rFont val="Arial CE"/>
        <family val="2"/>
      </rPr>
      <t>2)</t>
    </r>
    <r>
      <rPr>
        <b/>
        <sz val="12"/>
        <rFont val="Arial CE"/>
        <family val="2"/>
      </rPr>
      <t>,</t>
    </r>
  </si>
  <si>
    <t xml:space="preserve"> 5) wymagalne zobowiązania
w tym:</t>
  </si>
  <si>
    <t>a) wynikające z ustaw i orzeczeń sądów lub ostatecznych decyzji administracyjnych,</t>
  </si>
  <si>
    <t xml:space="preserve"> b) uznane za bezsporne przez właściwą jednostkę sektora finansów publicznych, będącą dłużnikiem</t>
  </si>
  <si>
    <r>
      <t xml:space="preserve"> 6) zobowiązania związane z umową zawartą z podmiotem dysponującym środkami, o których mowa w art. 5 </t>
    </r>
    <r>
      <rPr>
        <b/>
        <sz val="9"/>
        <rFont val="Times New Roman"/>
        <family val="1"/>
      </rPr>
      <t xml:space="preserve">ust. 3 ufp </t>
    </r>
    <r>
      <rPr>
        <sz val="9"/>
        <rFont val="Arial CE"/>
        <family val="2"/>
      </rPr>
      <t>(a+b+c):</t>
    </r>
    <r>
      <rPr>
        <b/>
        <sz val="9"/>
        <rFont val="Arial CE"/>
        <family val="2"/>
      </rPr>
      <t xml:space="preserve">   </t>
    </r>
  </si>
  <si>
    <t xml:space="preserve">      a) kredyty,</t>
  </si>
  <si>
    <t xml:space="preserve">      b) pożyczki,</t>
  </si>
  <si>
    <t xml:space="preserve">      c) emitowane papiery wartościowe.</t>
  </si>
  <si>
    <r>
      <t xml:space="preserve">G. </t>
    </r>
    <r>
      <rPr>
        <b/>
        <sz val="9"/>
        <rFont val="Times New Roman"/>
        <family val="1"/>
      </rPr>
      <t>Wska</t>
    </r>
    <r>
      <rPr>
        <b/>
        <sz val="9"/>
        <rFont val="Arial"/>
        <family val="2"/>
      </rPr>
      <t>ź</t>
    </r>
    <r>
      <rPr>
        <b/>
        <sz val="9"/>
        <rFont val="Arial CE"/>
        <family val="2"/>
      </rPr>
      <t>nik łącznego d</t>
    </r>
    <r>
      <rPr>
        <b/>
        <sz val="9"/>
        <rFont val="Arial"/>
        <family val="2"/>
      </rPr>
      <t>ł</t>
    </r>
    <r>
      <rPr>
        <b/>
        <sz val="9"/>
        <rFont val="Arial CE"/>
        <family val="2"/>
      </rPr>
      <t>ugu do dochodu (poz.34 / poz.1) %</t>
    </r>
  </si>
  <si>
    <r>
      <t>G1. Wska</t>
    </r>
    <r>
      <rPr>
        <b/>
        <sz val="9"/>
        <rFont val="Arial"/>
        <family val="2"/>
      </rPr>
      <t>ź</t>
    </r>
    <r>
      <rPr>
        <b/>
        <sz val="9"/>
        <rFont val="Arial CE"/>
        <family val="2"/>
      </rPr>
      <t>nik d</t>
    </r>
    <r>
      <rPr>
        <b/>
        <sz val="9"/>
        <rFont val="Arial"/>
        <family val="2"/>
      </rPr>
      <t>ł</t>
    </r>
    <r>
      <rPr>
        <b/>
        <sz val="9"/>
        <rFont val="Arial CE"/>
        <family val="2"/>
      </rPr>
      <t xml:space="preserve">ugu do dochodu </t>
    </r>
    <r>
      <rPr>
        <i/>
        <sz val="9"/>
        <rFont val="Arial CE"/>
        <family val="2"/>
      </rPr>
      <t>(bez poz. 42)</t>
    </r>
    <r>
      <rPr>
        <b/>
        <sz val="9"/>
        <rFont val="Arial CE"/>
        <family val="2"/>
      </rPr>
      <t>((poz.34 (-) poz.42) / poz.1) %</t>
    </r>
  </si>
  <si>
    <r>
      <t xml:space="preserve">H. OBCIĄŻENIE ROCZNE BUDŻETU
   z tytułu spłaty zadłużenia </t>
    </r>
    <r>
      <rPr>
        <b/>
        <sz val="9"/>
        <rFont val="Arial CE"/>
        <family val="2"/>
      </rPr>
      <t>(1+2+3+4+5+6):</t>
    </r>
  </si>
  <si>
    <r>
      <t xml:space="preserve"> 1)  spłat</t>
    </r>
    <r>
      <rPr>
        <b/>
        <sz val="9"/>
        <rFont val="Times New Roman"/>
        <family val="1"/>
      </rPr>
      <t>y rat kredytów</t>
    </r>
    <r>
      <rPr>
        <b/>
        <sz val="9"/>
        <rFont val="Arial CE"/>
        <family val="2"/>
      </rPr>
      <t xml:space="preserve"> (art.82 ust.1 pkt 2 i 3 ufp) z odsetkami,</t>
    </r>
  </si>
  <si>
    <r>
      <t xml:space="preserve"> 2)  spł</t>
    </r>
    <r>
      <rPr>
        <b/>
        <sz val="9"/>
        <rFont val="Times New Roman"/>
        <family val="1"/>
      </rPr>
      <t xml:space="preserve">aty rat pożyczek </t>
    </r>
    <r>
      <rPr>
        <b/>
        <sz val="9"/>
        <rFont val="Arial CE"/>
        <family val="2"/>
      </rPr>
      <t>(art.82 ust.1 pkt 2 i 3 ufp) z odsetkami,</t>
    </r>
  </si>
  <si>
    <t xml:space="preserve"> 3) potenc. spłaty udzielonych poręczeń
Z należnymi odsetkami,</t>
  </si>
  <si>
    <r>
      <t xml:space="preserve"> 4) wykup papierów wartościowych wyemitowanych</t>
    </r>
    <r>
      <rPr>
        <b/>
        <sz val="9"/>
        <rFont val="Times New Roman"/>
        <family val="1"/>
      </rPr>
      <t xml:space="preserve"> przez j.s.t. </t>
    </r>
    <r>
      <rPr>
        <sz val="9"/>
        <rFont val="Arial CE"/>
        <family val="2"/>
      </rPr>
      <t>(art.82 ust.1 pkt 2 i 3 ufp)</t>
    </r>
    <r>
      <rPr>
        <b/>
        <sz val="9"/>
        <rFont val="Arial CE"/>
        <family val="2"/>
      </rPr>
      <t>, z należnymi odsetkami i dyskontem,</t>
    </r>
  </si>
  <si>
    <t xml:space="preserve"> 5) odsetki od kredytów i pożyczek oraz odsetk i dyskonto od papierów wart. Wyemitowanych przez jst (art.82 ust.1 pkt 1 ufp),</t>
  </si>
  <si>
    <r>
      <t xml:space="preserve"> 6) spłaty zobowiązań związanych z umową zawartą z podmiotem dysponującym środkami, o których mowa w art. 5 ust. 3 ufp </t>
    </r>
    <r>
      <rPr>
        <sz val="12"/>
        <rFont val="Arial CE"/>
        <family val="2"/>
      </rPr>
      <t>(a+b+c+d):</t>
    </r>
  </si>
  <si>
    <t>a) spłaty rat kredytów z odsetkami,</t>
  </si>
  <si>
    <t>b) spłaty rat pożyczek z odsetkami,</t>
  </si>
  <si>
    <t>c) wykup papierów wartościowych z odsetkami i dyskontem,</t>
  </si>
  <si>
    <t>d) potencjalne spłaty poręczeń i gwarancji udzielonych samorządowym osobom prawnym realizującym zadania jst</t>
  </si>
  <si>
    <r>
      <t>I. Wskaźnik rocznej spłaty łącznego</t>
    </r>
    <r>
      <rPr>
        <b/>
        <sz val="9"/>
        <rFont val="Times New Roman"/>
        <family val="1"/>
      </rPr>
      <t xml:space="preserve"> zadłużenia do dochodu </t>
    </r>
    <r>
      <rPr>
        <b/>
        <sz val="9"/>
        <rFont val="Arial CE"/>
        <family val="2"/>
      </rPr>
      <t>(poz.45 / poz.1) %</t>
    </r>
  </si>
  <si>
    <r>
      <t>I1. Wskaźnik rocznej spłaty z</t>
    </r>
    <r>
      <rPr>
        <b/>
        <sz val="9"/>
        <rFont val="Times New Roman"/>
        <family val="1"/>
      </rPr>
      <t xml:space="preserve">adłużenia do dochodu </t>
    </r>
    <r>
      <rPr>
        <i/>
        <sz val="9"/>
        <rFont val="Times New Roman"/>
        <family val="1"/>
      </rPr>
      <t>(bez poz. 51)</t>
    </r>
    <r>
      <rPr>
        <b/>
        <sz val="9"/>
        <rFont val="Times New Roman"/>
        <family val="1"/>
      </rPr>
      <t xml:space="preserve"> ((poz.45 (-) poz. 51) / poz.1) %</t>
    </r>
  </si>
  <si>
    <t>J. DANE DOTYCZĄCE SPŁATY  ZACIĄGANEGO ZOBOWIĄZANIA - z tego:</t>
  </si>
  <si>
    <t xml:space="preserve"> 1) spłata podstawowych rat (wykupu pap. wart.)</t>
  </si>
  <si>
    <t xml:space="preserve"> 2) odsetki </t>
  </si>
  <si>
    <r>
      <t>1)</t>
    </r>
    <r>
      <rPr>
        <sz val="10"/>
        <rFont val="Arial CE"/>
        <family val="2"/>
      </rPr>
      <t xml:space="preserve">  - podać dane na poszczególne lata objęte spłatą całego zadłużenia
</t>
    </r>
    <r>
      <rPr>
        <vertAlign val="superscript"/>
        <sz val="10"/>
        <rFont val="Arial CE"/>
        <family val="2"/>
      </rPr>
      <t xml:space="preserve">2) </t>
    </r>
    <r>
      <rPr>
        <sz val="10"/>
        <rFont val="Arial CE"/>
        <family val="2"/>
      </rPr>
      <t xml:space="preserve"> -  depozyty przyjęte do budżetu 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</si>
</sst>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#,##0"/>
    <numFmt numFmtId="167" formatCode="#,##0\ _z_ł"/>
    <numFmt numFmtId="168" formatCode="D/MM/YYYY"/>
    <numFmt numFmtId="169" formatCode="MMMM"/>
    <numFmt numFmtId="170" formatCode="0.0"/>
  </numFmts>
  <fonts count="58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9"/>
      <name val="Czcionka tekstu podstawowego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2"/>
      <name val="Calibri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alibri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63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0"/>
      <name val="Arial CE"/>
      <family val="2"/>
    </font>
    <font>
      <b/>
      <sz val="13"/>
      <name val="Times New Roman"/>
      <family val="1"/>
    </font>
    <font>
      <b/>
      <sz val="14"/>
      <name val="Arial CE"/>
      <family val="2"/>
    </font>
    <font>
      <sz val="8"/>
      <name val="Times New Roman"/>
      <family val="1"/>
    </font>
    <font>
      <i/>
      <sz val="8"/>
      <name val="Arial CE"/>
      <family val="2"/>
    </font>
    <font>
      <b/>
      <sz val="8"/>
      <name val="Times New Roman"/>
      <family val="1"/>
    </font>
    <font>
      <b/>
      <i/>
      <u val="single"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Arial CE"/>
      <family val="2"/>
    </font>
    <font>
      <sz val="9"/>
      <name val="Arial CE"/>
      <family val="2"/>
    </font>
    <font>
      <b/>
      <sz val="9"/>
      <name val="Times New Roman"/>
      <family val="1"/>
    </font>
    <font>
      <b/>
      <vertAlign val="superscript"/>
      <sz val="12"/>
      <name val="Arial CE"/>
      <family val="2"/>
    </font>
    <font>
      <b/>
      <sz val="12"/>
      <name val="Arial CE"/>
      <family val="2"/>
    </font>
    <font>
      <b/>
      <sz val="9"/>
      <name val="Arial"/>
      <family val="2"/>
    </font>
    <font>
      <i/>
      <sz val="9"/>
      <name val="Arial CE"/>
      <family val="2"/>
    </font>
    <font>
      <sz val="12"/>
      <name val="Arial CE"/>
      <family val="2"/>
    </font>
    <font>
      <i/>
      <sz val="9"/>
      <name val="Times New Roman"/>
      <family val="1"/>
    </font>
    <font>
      <vertAlign val="superscript"/>
      <sz val="10"/>
      <name val="Arial CE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10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3" fillId="6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9" borderId="0" applyNumberFormat="0" applyBorder="0" applyAlignment="0" applyProtection="0"/>
    <xf numFmtId="164" fontId="3" fillId="5" borderId="0" applyNumberFormat="0" applyBorder="0" applyAlignment="0" applyProtection="0"/>
    <xf numFmtId="164" fontId="3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3" borderId="0" applyNumberFormat="0" applyBorder="0" applyAlignment="0" applyProtection="0"/>
    <xf numFmtId="164" fontId="3" fillId="13" borderId="0" applyNumberFormat="0" applyBorder="0" applyAlignment="0" applyProtection="0"/>
    <xf numFmtId="164" fontId="3" fillId="11" borderId="0" applyNumberFormat="0" applyBorder="0" applyAlignment="0" applyProtection="0"/>
    <xf numFmtId="164" fontId="3" fillId="14" borderId="0" applyNumberFormat="0" applyBorder="0" applyAlignment="0" applyProtection="0"/>
    <xf numFmtId="164" fontId="3" fillId="9" borderId="0" applyNumberFormat="0" applyBorder="0" applyAlignment="0" applyProtection="0"/>
    <xf numFmtId="164" fontId="3" fillId="13" borderId="0" applyNumberFormat="0" applyBorder="0" applyAlignment="0" applyProtection="0"/>
    <xf numFmtId="164" fontId="3" fillId="15" borderId="0" applyNumberFormat="0" applyBorder="0" applyAlignment="0" applyProtection="0"/>
    <xf numFmtId="164" fontId="4" fillId="16" borderId="0" applyNumberFormat="0" applyBorder="0" applyAlignment="0" applyProtection="0"/>
    <xf numFmtId="164" fontId="4" fillId="11" borderId="0" applyNumberFormat="0" applyBorder="0" applyAlignment="0" applyProtection="0"/>
    <xf numFmtId="164" fontId="4" fillId="12" borderId="0" applyNumberFormat="0" applyBorder="0" applyAlignment="0" applyProtection="0"/>
    <xf numFmtId="164" fontId="4" fillId="17" borderId="0" applyNumberFormat="0" applyBorder="0" applyAlignment="0" applyProtection="0"/>
    <xf numFmtId="164" fontId="4" fillId="16" borderId="0" applyNumberFormat="0" applyBorder="0" applyAlignment="0" applyProtection="0"/>
    <xf numFmtId="164" fontId="4" fillId="3" borderId="0" applyNumberFormat="0" applyBorder="0" applyAlignment="0" applyProtection="0"/>
    <xf numFmtId="164" fontId="5" fillId="18" borderId="0" applyNumberFormat="0" applyBorder="0" applyAlignment="0" applyProtection="0"/>
    <xf numFmtId="164" fontId="5" fillId="11" borderId="0" applyNumberFormat="0" applyBorder="0" applyAlignment="0" applyProtection="0"/>
    <xf numFmtId="164" fontId="5" fillId="14" borderId="0" applyNumberFormat="0" applyBorder="0" applyAlignment="0" applyProtection="0"/>
    <xf numFmtId="164" fontId="5" fillId="19" borderId="0" applyNumberFormat="0" applyBorder="0" applyAlignment="0" applyProtection="0"/>
    <xf numFmtId="164" fontId="5" fillId="16" borderId="0" applyNumberFormat="0" applyBorder="0" applyAlignment="0" applyProtection="0"/>
    <xf numFmtId="164" fontId="5" fillId="20" borderId="0" applyNumberFormat="0" applyBorder="0" applyAlignment="0" applyProtection="0"/>
    <xf numFmtId="164" fontId="4" fillId="16" borderId="0" applyNumberFormat="0" applyBorder="0" applyAlignment="0" applyProtection="0"/>
    <xf numFmtId="164" fontId="4" fillId="21" borderId="0" applyNumberFormat="0" applyBorder="0" applyAlignment="0" applyProtection="0"/>
    <xf numFmtId="164" fontId="4" fillId="22" borderId="0" applyNumberFormat="0" applyBorder="0" applyAlignment="0" applyProtection="0"/>
    <xf numFmtId="164" fontId="4" fillId="23" borderId="0" applyNumberFormat="0" applyBorder="0" applyAlignment="0" applyProtection="0"/>
    <xf numFmtId="164" fontId="4" fillId="16" borderId="0" applyNumberFormat="0" applyBorder="0" applyAlignment="0" applyProtection="0"/>
    <xf numFmtId="164" fontId="4" fillId="24" borderId="0" applyNumberFormat="0" applyBorder="0" applyAlignment="0" applyProtection="0"/>
    <xf numFmtId="164" fontId="5" fillId="25" borderId="0" applyNumberFormat="0" applyBorder="0" applyAlignment="0" applyProtection="0"/>
    <xf numFmtId="164" fontId="5" fillId="21" borderId="0" applyNumberFormat="0" applyBorder="0" applyAlignment="0" applyProtection="0"/>
    <xf numFmtId="164" fontId="5" fillId="22" borderId="0" applyNumberFormat="0" applyBorder="0" applyAlignment="0" applyProtection="0"/>
    <xf numFmtId="164" fontId="5" fillId="19" borderId="0" applyNumberFormat="0" applyBorder="0" applyAlignment="0" applyProtection="0"/>
    <xf numFmtId="164" fontId="5" fillId="16" borderId="0" applyNumberFormat="0" applyBorder="0" applyAlignment="0" applyProtection="0"/>
    <xf numFmtId="164" fontId="5" fillId="24" borderId="0" applyNumberFormat="0" applyBorder="0" applyAlignment="0" applyProtection="0"/>
    <xf numFmtId="164" fontId="6" fillId="7" borderId="0" applyNumberFormat="0" applyBorder="0" applyAlignment="0" applyProtection="0"/>
    <xf numFmtId="164" fontId="7" fillId="2" borderId="1" applyNumberFormat="0" applyAlignment="0" applyProtection="0"/>
    <xf numFmtId="164" fontId="8" fillId="17" borderId="2" applyNumberFormat="0" applyAlignment="0" applyProtection="0"/>
    <xf numFmtId="164" fontId="9" fillId="3" borderId="1" applyNumberFormat="0" applyAlignment="0" applyProtection="0"/>
    <xf numFmtId="164" fontId="10" fillId="10" borderId="3" applyNumberFormat="0" applyAlignment="0" applyProtection="0"/>
    <xf numFmtId="164" fontId="11" fillId="8" borderId="0" applyNumberFormat="0" applyBorder="0" applyAlignment="0" applyProtection="0"/>
    <xf numFmtId="164" fontId="12" fillId="0" borderId="0" applyNumberFormat="0" applyFill="0" applyBorder="0" applyAlignment="0" applyProtection="0"/>
    <xf numFmtId="164" fontId="13" fillId="8" borderId="0" applyNumberFormat="0" applyBorder="0" applyAlignment="0" applyProtection="0"/>
    <xf numFmtId="164" fontId="14" fillId="0" borderId="4" applyNumberFormat="0" applyFill="0" applyAlignment="0" applyProtection="0"/>
    <xf numFmtId="164" fontId="15" fillId="0" borderId="5" applyNumberFormat="0" applyFill="0" applyAlignment="0" applyProtection="0"/>
    <xf numFmtId="164" fontId="16" fillId="0" borderId="6" applyNumberFormat="0" applyFill="0" applyAlignment="0" applyProtection="0"/>
    <xf numFmtId="164" fontId="16" fillId="0" borderId="0" applyNumberFormat="0" applyFill="0" applyBorder="0" applyAlignment="0" applyProtection="0"/>
    <xf numFmtId="164" fontId="17" fillId="3" borderId="1" applyNumberFormat="0" applyAlignment="0" applyProtection="0"/>
    <xf numFmtId="164" fontId="18" fillId="0" borderId="7" applyNumberFormat="0" applyFill="0" applyAlignment="0" applyProtection="0"/>
    <xf numFmtId="164" fontId="19" fillId="26" borderId="2" applyNumberFormat="0" applyAlignment="0" applyProtection="0"/>
    <xf numFmtId="164" fontId="20" fillId="0" borderId="7" applyNumberFormat="0" applyFill="0" applyAlignment="0" applyProtection="0"/>
    <xf numFmtId="164" fontId="21" fillId="0" borderId="8" applyNumberFormat="0" applyFill="0" applyAlignment="0" applyProtection="0"/>
    <xf numFmtId="164" fontId="22" fillId="0" borderId="5" applyNumberFormat="0" applyFill="0" applyAlignment="0" applyProtection="0"/>
    <xf numFmtId="164" fontId="23" fillId="0" borderId="9" applyNumberFormat="0" applyFill="0" applyAlignment="0" applyProtection="0"/>
    <xf numFmtId="164" fontId="23" fillId="0" borderId="0" applyNumberFormat="0" applyFill="0" applyBorder="0" applyAlignment="0" applyProtection="0"/>
    <xf numFmtId="164" fontId="24" fillId="12" borderId="0" applyNumberFormat="0" applyBorder="0" applyAlignment="0" applyProtection="0"/>
    <xf numFmtId="164" fontId="25" fillId="12" borderId="0" applyNumberFormat="0" applyBorder="0" applyAlignment="0" applyProtection="0"/>
    <xf numFmtId="164" fontId="0" fillId="0" borderId="0">
      <alignment/>
      <protection/>
    </xf>
    <xf numFmtId="164" fontId="0" fillId="4" borderId="10" applyNumberFormat="0" applyAlignment="0" applyProtection="0"/>
    <xf numFmtId="164" fontId="26" fillId="10" borderId="1" applyNumberFormat="0" applyAlignment="0" applyProtection="0"/>
    <xf numFmtId="164" fontId="27" fillId="2" borderId="3" applyNumberFormat="0" applyAlignment="0" applyProtection="0"/>
    <xf numFmtId="164" fontId="28" fillId="0" borderId="11" applyNumberFormat="0" applyFill="0" applyAlignment="0" applyProtection="0"/>
    <xf numFmtId="164" fontId="29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164" fontId="32" fillId="0" borderId="12" applyNumberFormat="0" applyFill="0" applyAlignment="0" applyProtection="0"/>
    <xf numFmtId="164" fontId="33" fillId="0" borderId="0" applyNumberFormat="0" applyFill="0" applyBorder="0" applyAlignment="0" applyProtection="0"/>
    <xf numFmtId="164" fontId="0" fillId="4" borderId="13" applyNumberFormat="0" applyAlignment="0" applyProtection="0"/>
    <xf numFmtId="164" fontId="34" fillId="0" borderId="0" applyNumberFormat="0" applyFill="0" applyBorder="0" applyAlignment="0" applyProtection="0"/>
    <xf numFmtId="164" fontId="35" fillId="7" borderId="0" applyNumberFormat="0" applyBorder="0" applyAlignment="0" applyProtection="0"/>
  </cellStyleXfs>
  <cellXfs count="101">
    <xf numFmtId="164" fontId="0" fillId="0" borderId="0" xfId="0" applyAlignment="1">
      <alignment/>
    </xf>
    <xf numFmtId="164" fontId="36" fillId="0" borderId="0" xfId="0" applyFont="1" applyAlignment="1">
      <alignment/>
    </xf>
    <xf numFmtId="164" fontId="37" fillId="0" borderId="0" xfId="0" applyFont="1" applyBorder="1" applyAlignment="1">
      <alignment horizontal="center"/>
    </xf>
    <xf numFmtId="164" fontId="37" fillId="0" borderId="14" xfId="0" applyFont="1" applyBorder="1" applyAlignment="1">
      <alignment horizontal="center" wrapText="1"/>
    </xf>
    <xf numFmtId="164" fontId="37" fillId="0" borderId="14" xfId="0" applyFont="1" applyBorder="1" applyAlignment="1">
      <alignment horizontal="center"/>
    </xf>
    <xf numFmtId="164" fontId="37" fillId="0" borderId="14" xfId="0" applyNumberFormat="1" applyFont="1" applyBorder="1" applyAlignment="1">
      <alignment horizontal="center"/>
    </xf>
    <xf numFmtId="164" fontId="37" fillId="0" borderId="0" xfId="0" applyFont="1" applyAlignment="1">
      <alignment/>
    </xf>
    <xf numFmtId="165" fontId="37" fillId="0" borderId="14" xfId="0" applyNumberFormat="1" applyFont="1" applyBorder="1" applyAlignment="1">
      <alignment horizontal="center"/>
    </xf>
    <xf numFmtId="164" fontId="37" fillId="0" borderId="14" xfId="0" applyFont="1" applyBorder="1" applyAlignment="1">
      <alignment/>
    </xf>
    <xf numFmtId="166" fontId="36" fillId="0" borderId="14" xfId="0" applyNumberFormat="1" applyFont="1" applyBorder="1" applyAlignment="1">
      <alignment/>
    </xf>
    <xf numFmtId="166" fontId="36" fillId="0" borderId="14" xfId="0" applyNumberFormat="1" applyFont="1" applyBorder="1" applyAlignment="1">
      <alignment horizontal="center"/>
    </xf>
    <xf numFmtId="166" fontId="36" fillId="0" borderId="14" xfId="0" applyNumberFormat="1" applyFont="1" applyBorder="1" applyAlignment="1">
      <alignment horizontal="right"/>
    </xf>
    <xf numFmtId="166" fontId="36" fillId="0" borderId="14" xfId="0" applyNumberFormat="1" applyFont="1" applyBorder="1" applyAlignment="1">
      <alignment/>
    </xf>
    <xf numFmtId="164" fontId="37" fillId="0" borderId="14" xfId="0" applyFont="1" applyFill="1" applyBorder="1" applyAlignment="1">
      <alignment wrapText="1"/>
    </xf>
    <xf numFmtId="166" fontId="36" fillId="0" borderId="14" xfId="0" applyNumberFormat="1" applyFont="1" applyFill="1" applyBorder="1" applyAlignment="1">
      <alignment/>
    </xf>
    <xf numFmtId="164" fontId="36" fillId="0" borderId="0" xfId="0" applyFont="1" applyBorder="1" applyAlignment="1">
      <alignment/>
    </xf>
    <xf numFmtId="164" fontId="37" fillId="0" borderId="14" xfId="0" applyFont="1" applyBorder="1" applyAlignment="1">
      <alignment/>
    </xf>
    <xf numFmtId="167" fontId="36" fillId="0" borderId="0" xfId="0" applyNumberFormat="1" applyFont="1" applyBorder="1" applyAlignment="1">
      <alignment/>
    </xf>
    <xf numFmtId="166" fontId="37" fillId="0" borderId="14" xfId="0" applyNumberFormat="1" applyFont="1" applyBorder="1" applyAlignment="1">
      <alignment horizontal="center"/>
    </xf>
    <xf numFmtId="167" fontId="37" fillId="0" borderId="0" xfId="0" applyNumberFormat="1" applyFont="1" applyBorder="1" applyAlignment="1">
      <alignment horizontal="center"/>
    </xf>
    <xf numFmtId="164" fontId="36" fillId="0" borderId="0" xfId="0" applyFont="1" applyBorder="1" applyAlignment="1">
      <alignment/>
    </xf>
    <xf numFmtId="167" fontId="36" fillId="0" borderId="0" xfId="0" applyNumberFormat="1" applyFont="1" applyBorder="1" applyAlignment="1">
      <alignment/>
    </xf>
    <xf numFmtId="165" fontId="36" fillId="0" borderId="0" xfId="0" applyNumberFormat="1" applyFont="1" applyBorder="1" applyAlignment="1">
      <alignment/>
    </xf>
    <xf numFmtId="165" fontId="36" fillId="0" borderId="0" xfId="0" applyNumberFormat="1" applyFont="1" applyAlignment="1">
      <alignment/>
    </xf>
    <xf numFmtId="164" fontId="36" fillId="2" borderId="0" xfId="90" applyFont="1" applyFill="1" applyAlignment="1">
      <alignment horizontal="center"/>
      <protection/>
    </xf>
    <xf numFmtId="164" fontId="36" fillId="2" borderId="0" xfId="90" applyFont="1" applyFill="1">
      <alignment/>
      <protection/>
    </xf>
    <xf numFmtId="164" fontId="38" fillId="2" borderId="0" xfId="90" applyFont="1" applyFill="1" applyBorder="1" applyAlignment="1">
      <alignment horizontal="center"/>
      <protection/>
    </xf>
    <xf numFmtId="164" fontId="36" fillId="2" borderId="0" xfId="90" applyFont="1" applyFill="1" applyBorder="1" applyAlignment="1">
      <alignment horizontal="center"/>
      <protection/>
    </xf>
    <xf numFmtId="164" fontId="36" fillId="2" borderId="14" xfId="90" applyFont="1" applyFill="1" applyBorder="1" applyAlignment="1">
      <alignment horizontal="center"/>
      <protection/>
    </xf>
    <xf numFmtId="164" fontId="36" fillId="2" borderId="14" xfId="90" applyFont="1" applyFill="1" applyBorder="1">
      <alignment/>
      <protection/>
    </xf>
    <xf numFmtId="164" fontId="37" fillId="2" borderId="14" xfId="90" applyFont="1" applyFill="1" applyBorder="1" applyAlignment="1">
      <alignment horizontal="center" vertical="center"/>
      <protection/>
    </xf>
    <xf numFmtId="164" fontId="37" fillId="2" borderId="14" xfId="90" applyFont="1" applyFill="1" applyBorder="1" applyAlignment="1">
      <alignment vertical="center" wrapText="1"/>
      <protection/>
    </xf>
    <xf numFmtId="166" fontId="37" fillId="2" borderId="14" xfId="0" applyNumberFormat="1" applyFont="1" applyFill="1" applyBorder="1" applyAlignment="1">
      <alignment vertical="center"/>
    </xf>
    <xf numFmtId="166" fontId="37" fillId="2" borderId="14" xfId="90" applyNumberFormat="1" applyFont="1" applyFill="1" applyBorder="1" applyAlignment="1">
      <alignment vertical="center"/>
      <protection/>
    </xf>
    <xf numFmtId="164" fontId="37" fillId="2" borderId="0" xfId="90" applyFont="1" applyFill="1">
      <alignment/>
      <protection/>
    </xf>
    <xf numFmtId="164" fontId="39" fillId="0" borderId="0" xfId="0" applyFont="1" applyAlignment="1">
      <alignment/>
    </xf>
    <xf numFmtId="164" fontId="36" fillId="2" borderId="14" xfId="90" applyFont="1" applyFill="1" applyBorder="1" applyAlignment="1">
      <alignment horizontal="center" vertical="center"/>
      <protection/>
    </xf>
    <xf numFmtId="164" fontId="36" fillId="2" borderId="14" xfId="90" applyFont="1" applyFill="1" applyBorder="1" applyAlignment="1">
      <alignment vertical="center" wrapText="1"/>
      <protection/>
    </xf>
    <xf numFmtId="166" fontId="36" fillId="2" borderId="14" xfId="0" applyNumberFormat="1" applyFont="1" applyFill="1" applyBorder="1" applyAlignment="1">
      <alignment vertical="center"/>
    </xf>
    <xf numFmtId="166" fontId="36" fillId="2" borderId="14" xfId="90" applyNumberFormat="1" applyFont="1" applyFill="1" applyBorder="1" applyAlignment="1">
      <alignment vertical="center"/>
      <protection/>
    </xf>
    <xf numFmtId="166" fontId="36" fillId="2" borderId="0" xfId="90" applyNumberFormat="1" applyFont="1" applyFill="1">
      <alignment/>
      <protection/>
    </xf>
    <xf numFmtId="164" fontId="40" fillId="2" borderId="0" xfId="90" applyFont="1" applyFill="1" applyBorder="1" applyAlignment="1">
      <alignment horizontal="center"/>
      <protection/>
    </xf>
    <xf numFmtId="166" fontId="38" fillId="2" borderId="0" xfId="90" applyNumberFormat="1" applyFont="1" applyFill="1" applyBorder="1" applyAlignment="1">
      <alignment vertical="center" wrapText="1"/>
      <protection/>
    </xf>
    <xf numFmtId="166" fontId="37" fillId="2" borderId="0" xfId="90" applyNumberFormat="1" applyFont="1" applyFill="1" applyBorder="1" applyAlignment="1">
      <alignment vertical="center"/>
      <protection/>
    </xf>
    <xf numFmtId="166" fontId="37" fillId="2" borderId="0" xfId="0" applyNumberFormat="1" applyFont="1" applyFill="1" applyBorder="1" applyAlignment="1">
      <alignment vertical="center"/>
    </xf>
    <xf numFmtId="164" fontId="38" fillId="2" borderId="0" xfId="90" applyFont="1" applyFill="1">
      <alignment/>
      <protection/>
    </xf>
    <xf numFmtId="164" fontId="41" fillId="0" borderId="0" xfId="0" applyFont="1" applyAlignment="1">
      <alignment/>
    </xf>
    <xf numFmtId="166" fontId="36" fillId="2" borderId="0" xfId="90" applyNumberFormat="1" applyFont="1" applyFill="1" applyBorder="1" applyAlignment="1">
      <alignment vertical="center"/>
      <protection/>
    </xf>
    <xf numFmtId="166" fontId="36" fillId="2" borderId="0" xfId="0" applyNumberFormat="1" applyFont="1" applyFill="1" applyBorder="1" applyAlignment="1">
      <alignment vertical="center"/>
    </xf>
    <xf numFmtId="164" fontId="37" fillId="2" borderId="0" xfId="90" applyFont="1" applyFill="1" applyBorder="1" applyAlignment="1">
      <alignment horizontal="center" vertical="center"/>
      <protection/>
    </xf>
    <xf numFmtId="164" fontId="36" fillId="2" borderId="0" xfId="90" applyFont="1" applyFill="1" applyBorder="1" applyAlignment="1">
      <alignment horizontal="center" vertical="center"/>
      <protection/>
    </xf>
    <xf numFmtId="164" fontId="36" fillId="2" borderId="0" xfId="90" applyFont="1" applyFill="1" applyBorder="1" applyAlignment="1">
      <alignment vertical="center" wrapText="1"/>
      <protection/>
    </xf>
    <xf numFmtId="164" fontId="37" fillId="2" borderId="0" xfId="90" applyFont="1" applyFill="1" applyBorder="1" applyAlignment="1">
      <alignment vertical="center" wrapText="1"/>
      <protection/>
    </xf>
    <xf numFmtId="164" fontId="42" fillId="0" borderId="0" xfId="90" applyFont="1" applyAlignment="1">
      <alignment horizontal="center"/>
      <protection/>
    </xf>
    <xf numFmtId="164" fontId="42" fillId="0" borderId="0" xfId="90" applyFont="1" applyAlignment="1">
      <alignment wrapText="1"/>
      <protection/>
    </xf>
    <xf numFmtId="164" fontId="42" fillId="0" borderId="0" xfId="90" applyFont="1">
      <alignment/>
      <protection/>
    </xf>
    <xf numFmtId="164" fontId="42" fillId="0" borderId="0" xfId="0" applyFont="1" applyAlignment="1">
      <alignment horizontal="left" wrapText="1"/>
    </xf>
    <xf numFmtId="168" fontId="42" fillId="0" borderId="0" xfId="90" applyNumberFormat="1" applyFont="1" applyAlignment="1">
      <alignment vertical="top"/>
      <protection/>
    </xf>
    <xf numFmtId="164" fontId="38" fillId="0" borderId="0" xfId="90" applyFont="1" applyBorder="1" applyAlignment="1">
      <alignment horizontal="center" wrapText="1"/>
      <protection/>
    </xf>
    <xf numFmtId="169" fontId="44" fillId="0" borderId="0" xfId="90" applyNumberFormat="1" applyFont="1" applyBorder="1" applyAlignment="1">
      <alignment horizontal="center" vertical="center" wrapText="1"/>
      <protection/>
    </xf>
    <xf numFmtId="164" fontId="44" fillId="0" borderId="0" xfId="90" applyFont="1" applyBorder="1" applyAlignment="1">
      <alignment horizontal="center" vertical="center" wrapText="1"/>
      <protection/>
    </xf>
    <xf numFmtId="164" fontId="45" fillId="0" borderId="0" xfId="90" applyFont="1" applyBorder="1" applyAlignment="1">
      <alignment horizontal="center" vertical="center" wrapText="1"/>
      <protection/>
    </xf>
    <xf numFmtId="164" fontId="46" fillId="0" borderId="14" xfId="90" applyFont="1" applyBorder="1" applyAlignment="1">
      <alignment horizontal="center"/>
      <protection/>
    </xf>
    <xf numFmtId="164" fontId="46" fillId="0" borderId="14" xfId="90" applyFont="1" applyBorder="1" applyAlignment="1">
      <alignment horizontal="center" wrapText="1"/>
      <protection/>
    </xf>
    <xf numFmtId="164" fontId="46" fillId="0" borderId="14" xfId="90" applyFont="1" applyBorder="1" applyAlignment="1">
      <alignment horizontal="center" vertical="center"/>
      <protection/>
    </xf>
    <xf numFmtId="164" fontId="47" fillId="0" borderId="14" xfId="90" applyFont="1" applyBorder="1" applyAlignment="1">
      <alignment horizontal="center"/>
      <protection/>
    </xf>
    <xf numFmtId="164" fontId="47" fillId="0" borderId="14" xfId="90" applyFont="1" applyBorder="1" applyAlignment="1">
      <alignment wrapText="1"/>
      <protection/>
    </xf>
    <xf numFmtId="164" fontId="47" fillId="10" borderId="14" xfId="90" applyFont="1" applyFill="1" applyBorder="1" applyAlignment="1">
      <alignment horizontal="center" vertical="center"/>
      <protection/>
    </xf>
    <xf numFmtId="164" fontId="46" fillId="10" borderId="14" xfId="90" applyFont="1" applyFill="1" applyBorder="1" applyAlignment="1">
      <alignment vertical="center" wrapText="1"/>
      <protection/>
    </xf>
    <xf numFmtId="166" fontId="46" fillId="10" borderId="14" xfId="90" applyNumberFormat="1" applyFont="1" applyFill="1" applyBorder="1" applyAlignment="1">
      <alignment vertical="center"/>
      <protection/>
    </xf>
    <xf numFmtId="166" fontId="46" fillId="10" borderId="14" xfId="0" applyNumberFormat="1" applyFont="1" applyFill="1" applyBorder="1" applyAlignment="1">
      <alignment vertical="center"/>
    </xf>
    <xf numFmtId="164" fontId="47" fillId="0" borderId="14" xfId="90" applyFont="1" applyBorder="1" applyAlignment="1">
      <alignment horizontal="center" vertical="center"/>
      <protection/>
    </xf>
    <xf numFmtId="164" fontId="47" fillId="0" borderId="14" xfId="90" applyFont="1" applyBorder="1" applyAlignment="1">
      <alignment vertical="center" wrapText="1"/>
      <protection/>
    </xf>
    <xf numFmtId="166" fontId="47" fillId="0" borderId="14" xfId="90" applyNumberFormat="1" applyFont="1" applyBorder="1" applyAlignment="1">
      <alignment vertical="center"/>
      <protection/>
    </xf>
    <xf numFmtId="166" fontId="47" fillId="0" borderId="14" xfId="0" applyNumberFormat="1" applyFont="1" applyBorder="1" applyAlignment="1">
      <alignment vertical="center"/>
    </xf>
    <xf numFmtId="164" fontId="46" fillId="0" borderId="14" xfId="90" applyFont="1" applyBorder="1" applyAlignment="1">
      <alignment vertical="center" wrapText="1"/>
      <protection/>
    </xf>
    <xf numFmtId="166" fontId="46" fillId="0" borderId="14" xfId="90" applyNumberFormat="1" applyFont="1" applyBorder="1" applyAlignment="1">
      <alignment vertical="center"/>
      <protection/>
    </xf>
    <xf numFmtId="166" fontId="46" fillId="0" borderId="14" xfId="0" applyNumberFormat="1" applyFont="1" applyBorder="1" applyAlignment="1">
      <alignment vertical="center"/>
    </xf>
    <xf numFmtId="166" fontId="46" fillId="10" borderId="14" xfId="90" applyNumberFormat="1" applyFont="1" applyFill="1" applyBorder="1" applyAlignment="1">
      <alignment vertical="center" wrapText="1"/>
      <protection/>
    </xf>
    <xf numFmtId="166" fontId="46" fillId="10" borderId="14" xfId="0" applyNumberFormat="1" applyFont="1" applyFill="1" applyBorder="1" applyAlignment="1">
      <alignment vertical="center" wrapText="1"/>
    </xf>
    <xf numFmtId="166" fontId="47" fillId="2" borderId="14" xfId="0" applyNumberFormat="1" applyFont="1" applyFill="1" applyBorder="1" applyAlignment="1">
      <alignment vertical="center"/>
    </xf>
    <xf numFmtId="164" fontId="46" fillId="0" borderId="14" xfId="90" applyFont="1" applyFill="1" applyBorder="1" applyAlignment="1">
      <alignment vertical="center" wrapText="1"/>
      <protection/>
    </xf>
    <xf numFmtId="166" fontId="47" fillId="0" borderId="14" xfId="90" applyNumberFormat="1" applyFont="1" applyFill="1" applyBorder="1" applyAlignment="1">
      <alignment vertical="center"/>
      <protection/>
    </xf>
    <xf numFmtId="166" fontId="47" fillId="0" borderId="14" xfId="0" applyNumberFormat="1" applyFont="1" applyFill="1" applyBorder="1" applyAlignment="1">
      <alignment vertical="center"/>
    </xf>
    <xf numFmtId="164" fontId="47" fillId="0" borderId="14" xfId="90" applyFont="1" applyFill="1" applyBorder="1" applyAlignment="1">
      <alignment vertical="center" wrapText="1"/>
      <protection/>
    </xf>
    <xf numFmtId="166" fontId="47" fillId="0" borderId="14" xfId="90" applyNumberFormat="1" applyFont="1" applyBorder="1" applyAlignment="1">
      <alignment/>
      <protection/>
    </xf>
    <xf numFmtId="170" fontId="46" fillId="10" borderId="14" xfId="90" applyNumberFormat="1" applyFont="1" applyFill="1" applyBorder="1" applyAlignment="1">
      <alignment horizontal="center" vertical="center"/>
      <protection/>
    </xf>
    <xf numFmtId="164" fontId="47" fillId="0" borderId="14" xfId="90" applyFont="1" applyFill="1" applyBorder="1" applyAlignment="1">
      <alignment horizontal="center" vertical="center"/>
      <protection/>
    </xf>
    <xf numFmtId="170" fontId="46" fillId="0" borderId="14" xfId="90" applyNumberFormat="1" applyFont="1" applyFill="1" applyBorder="1" applyAlignment="1">
      <alignment horizontal="center" vertical="center"/>
      <protection/>
    </xf>
    <xf numFmtId="164" fontId="42" fillId="2" borderId="0" xfId="90" applyFont="1" applyFill="1">
      <alignment/>
      <protection/>
    </xf>
    <xf numFmtId="164" fontId="46" fillId="10" borderId="14" xfId="0" applyFont="1" applyFill="1" applyBorder="1" applyAlignment="1">
      <alignment vertical="center" wrapText="1"/>
    </xf>
    <xf numFmtId="164" fontId="44" fillId="2" borderId="0" xfId="0" applyFont="1" applyFill="1" applyBorder="1" applyAlignment="1">
      <alignment vertical="center" wrapText="1"/>
    </xf>
    <xf numFmtId="166" fontId="44" fillId="2" borderId="0" xfId="90" applyNumberFormat="1" applyFont="1" applyFill="1" applyBorder="1" applyAlignment="1">
      <alignment vertical="center"/>
      <protection/>
    </xf>
    <xf numFmtId="164" fontId="42" fillId="2" borderId="0" xfId="90" applyFont="1" applyFill="1" applyBorder="1" applyAlignment="1">
      <alignment horizontal="center" vertical="center"/>
      <protection/>
    </xf>
    <xf numFmtId="164" fontId="47" fillId="0" borderId="14" xfId="0" applyFont="1" applyFill="1" applyBorder="1" applyAlignment="1">
      <alignment vertical="center" wrapText="1"/>
    </xf>
    <xf numFmtId="164" fontId="42" fillId="2" borderId="0" xfId="0" applyFont="1" applyFill="1" applyBorder="1" applyAlignment="1">
      <alignment vertical="center"/>
    </xf>
    <xf numFmtId="166" fontId="42" fillId="2" borderId="0" xfId="90" applyNumberFormat="1" applyFont="1" applyFill="1" applyBorder="1" applyAlignment="1">
      <alignment vertical="center"/>
      <protection/>
    </xf>
    <xf numFmtId="164" fontId="47" fillId="0" borderId="0" xfId="90" applyFont="1" applyAlignment="1">
      <alignment horizontal="center"/>
      <protection/>
    </xf>
    <xf numFmtId="164" fontId="57" fillId="0" borderId="0" xfId="90" applyFont="1" applyBorder="1" applyAlignment="1">
      <alignment horizontal="left" wrapText="1"/>
      <protection/>
    </xf>
    <xf numFmtId="164" fontId="47" fillId="0" borderId="0" xfId="90" applyFont="1" applyBorder="1" applyAlignment="1">
      <alignment horizontal="center" wrapText="1"/>
      <protection/>
    </xf>
    <xf numFmtId="164" fontId="42" fillId="0" borderId="0" xfId="90" applyFont="1" applyBorder="1">
      <alignment/>
      <protection/>
    </xf>
  </cellXfs>
  <cellStyles count="8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akcent 1" xfId="26"/>
    <cellStyle name="20% - akcent 2" xfId="27"/>
    <cellStyle name="20% - akcent 3" xfId="28"/>
    <cellStyle name="20% - akcent 4" xfId="29"/>
    <cellStyle name="20% - akcent 5" xfId="30"/>
    <cellStyle name="20% - akcent 6" xfId="31"/>
    <cellStyle name="40% - Accent1" xfId="32"/>
    <cellStyle name="40% - Accent2" xfId="33"/>
    <cellStyle name="40% - Accent3" xfId="34"/>
    <cellStyle name="40% - Accent4" xfId="35"/>
    <cellStyle name="40% - Accent5" xfId="36"/>
    <cellStyle name="40% - Accent6" xfId="37"/>
    <cellStyle name="40% - akcent 1" xfId="38"/>
    <cellStyle name="40% - akcent 2" xfId="39"/>
    <cellStyle name="40% - akcent 3" xfId="40"/>
    <cellStyle name="40% - akcent 4" xfId="41"/>
    <cellStyle name="40% - akcent 5" xfId="42"/>
    <cellStyle name="40% - akcent 6" xfId="43"/>
    <cellStyle name="60% - Accent1" xfId="44"/>
    <cellStyle name="60% - Accent2" xfId="45"/>
    <cellStyle name="60% - Accent3" xfId="46"/>
    <cellStyle name="60% - Accent4" xfId="47"/>
    <cellStyle name="60% - Accent5" xfId="48"/>
    <cellStyle name="60% - Accent6" xfId="49"/>
    <cellStyle name="60% - akcent 1" xfId="50"/>
    <cellStyle name="60% - akcent 2" xfId="51"/>
    <cellStyle name="60% - akcent 3" xfId="52"/>
    <cellStyle name="60% - akcent 4" xfId="53"/>
    <cellStyle name="60% - akcent 5" xfId="54"/>
    <cellStyle name="60% - akcent 6" xfId="55"/>
    <cellStyle name="Accent1" xfId="56"/>
    <cellStyle name="Accent2" xfId="57"/>
    <cellStyle name="Accent3" xfId="58"/>
    <cellStyle name="Accent4" xfId="59"/>
    <cellStyle name="Accent5" xfId="60"/>
    <cellStyle name="Accent6" xfId="61"/>
    <cellStyle name="Akcent 1" xfId="62"/>
    <cellStyle name="Akcent 2" xfId="63"/>
    <cellStyle name="Akcent 3" xfId="64"/>
    <cellStyle name="Akcent 4" xfId="65"/>
    <cellStyle name="Akcent 5" xfId="66"/>
    <cellStyle name="Akcent 6" xfId="67"/>
    <cellStyle name="Bad" xfId="68"/>
    <cellStyle name="Calculation" xfId="69"/>
    <cellStyle name="Check Cell" xfId="70"/>
    <cellStyle name="Dane wejściowe" xfId="71"/>
    <cellStyle name="Dane wyjściowe" xfId="72"/>
    <cellStyle name="Dobre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Input" xfId="80"/>
    <cellStyle name="Komórka połączona" xfId="81"/>
    <cellStyle name="Komórka zaznaczona" xfId="82"/>
    <cellStyle name="Linked Cell" xfId="83"/>
    <cellStyle name="Nagłówek 1" xfId="84"/>
    <cellStyle name="Nagłówek 2" xfId="85"/>
    <cellStyle name="Nagłówek 3" xfId="86"/>
    <cellStyle name="Nagłówek 4" xfId="87"/>
    <cellStyle name="Neutral" xfId="88"/>
    <cellStyle name="Neutralne" xfId="89"/>
    <cellStyle name="Normalny_Prognoza i kredyty-tabele 2003" xfId="90"/>
    <cellStyle name="Note" xfId="91"/>
    <cellStyle name="Obliczenia" xfId="92"/>
    <cellStyle name="Output" xfId="93"/>
    <cellStyle name="Suma" xfId="94"/>
    <cellStyle name="Tekst objaśnienia" xfId="95"/>
    <cellStyle name="Tekst ostrzeżenia" xfId="96"/>
    <cellStyle name="Title" xfId="97"/>
    <cellStyle name="Total" xfId="98"/>
    <cellStyle name="Tytuł" xfId="99"/>
    <cellStyle name="Uwaga" xfId="100"/>
    <cellStyle name="Warning Text" xfId="101"/>
    <cellStyle name="Złe" xfId="10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J39"/>
  <sheetViews>
    <sheetView showGridLines="0" defaultGridColor="0" view="pageBreakPreview" zoomScale="80" zoomScaleSheetLayoutView="80" colorId="15" workbookViewId="0" topLeftCell="A1">
      <selection activeCell="H21" sqref="H21"/>
    </sheetView>
  </sheetViews>
  <sheetFormatPr defaultColWidth="9.00390625" defaultRowHeight="12.75"/>
  <cols>
    <col min="1" max="1" width="13.00390625" style="1" customWidth="1"/>
    <col min="2" max="2" width="11.875" style="1" customWidth="1"/>
    <col min="3" max="3" width="8.00390625" style="1" customWidth="1"/>
    <col min="4" max="5" width="0" style="1" hidden="1" customWidth="1"/>
    <col min="6" max="6" width="9.25390625" style="1" customWidth="1"/>
    <col min="7" max="7" width="7.875" style="1" customWidth="1"/>
    <col min="8" max="8" width="8.125" style="1" customWidth="1"/>
    <col min="9" max="9" width="7.875" style="1" customWidth="1"/>
    <col min="10" max="10" width="8.00390625" style="1" customWidth="1"/>
    <col min="11" max="13" width="7.875" style="1" customWidth="1"/>
    <col min="14" max="15" width="8.00390625" style="1" customWidth="1"/>
    <col min="16" max="16" width="8.25390625" style="1" customWidth="1"/>
    <col min="17" max="17" width="8.00390625" style="1" customWidth="1"/>
    <col min="18" max="19" width="8.125" style="1" customWidth="1"/>
    <col min="20" max="21" width="8.00390625" style="1" customWidth="1"/>
    <col min="22" max="22" width="8.125" style="1" customWidth="1"/>
    <col min="23" max="23" width="8.00390625" style="1" customWidth="1"/>
    <col min="24" max="24" width="8.25390625" style="1" customWidth="1"/>
    <col min="25" max="27" width="8.00390625" style="1" customWidth="1"/>
    <col min="28" max="28" width="8.625" style="1" customWidth="1"/>
    <col min="29" max="29" width="8.00390625" style="1" customWidth="1"/>
    <col min="30" max="30" width="7.875" style="1" customWidth="1"/>
    <col min="31" max="31" width="8.00390625" style="1" customWidth="1"/>
    <col min="32" max="33" width="8.125" style="1" customWidth="1"/>
    <col min="34" max="34" width="8.25390625" style="1" customWidth="1"/>
    <col min="35" max="36" width="8.125" style="1" customWidth="1"/>
    <col min="37" max="37" width="7.875" style="1" customWidth="1"/>
    <col min="38" max="38" width="8.00390625" style="1" customWidth="1"/>
    <col min="39" max="39" width="8.125" style="1" customWidth="1"/>
    <col min="40" max="40" width="7.875" style="1" customWidth="1"/>
    <col min="41" max="41" width="8.625" style="1" customWidth="1"/>
    <col min="42" max="42" width="7.25390625" style="1" customWidth="1"/>
    <col min="43" max="43" width="8.125" style="1" customWidth="1"/>
    <col min="44" max="44" width="7.75390625" style="1" customWidth="1"/>
    <col min="45" max="45" width="8.125" style="1" customWidth="1"/>
    <col min="46" max="46" width="7.625" style="1" customWidth="1"/>
    <col min="47" max="47" width="8.25390625" style="1" customWidth="1"/>
    <col min="48" max="49" width="8.00390625" style="1" customWidth="1"/>
    <col min="50" max="51" width="8.125" style="1" customWidth="1"/>
    <col min="52" max="52" width="8.00390625" style="1" customWidth="1"/>
    <col min="53" max="53" width="8.125" style="1" customWidth="1"/>
    <col min="54" max="54" width="7.25390625" style="1" customWidth="1"/>
    <col min="55" max="57" width="7.125" style="1" customWidth="1"/>
    <col min="58" max="58" width="7.00390625" style="1" customWidth="1"/>
    <col min="59" max="59" width="7.25390625" style="1" customWidth="1"/>
    <col min="60" max="60" width="7.375" style="1" customWidth="1"/>
    <col min="61" max="61" width="7.00390625" style="1" customWidth="1"/>
    <col min="62" max="63" width="7.25390625" style="1" customWidth="1"/>
    <col min="64" max="64" width="7.00390625" style="1" customWidth="1"/>
    <col min="65" max="65" width="7.125" style="1" customWidth="1"/>
    <col min="66" max="66" width="7.25390625" style="1" customWidth="1"/>
    <col min="67" max="67" width="7.875" style="1" customWidth="1"/>
    <col min="68" max="68" width="7.25390625" style="1" customWidth="1"/>
    <col min="69" max="69" width="8.125" style="1" customWidth="1"/>
    <col min="70" max="70" width="7.125" style="1" customWidth="1"/>
    <col min="71" max="73" width="7.875" style="1" customWidth="1"/>
    <col min="74" max="16384" width="9.00390625" style="1" customWidth="1"/>
  </cols>
  <sheetData>
    <row r="1" spans="1:16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73" s="6" customFormat="1" ht="12.75" customHeight="1">
      <c r="A3" s="3" t="s">
        <v>1</v>
      </c>
      <c r="B3" s="3" t="s">
        <v>2</v>
      </c>
      <c r="C3" s="3" t="s">
        <v>3</v>
      </c>
      <c r="D3" s="4">
        <v>2009</v>
      </c>
      <c r="E3" s="4"/>
      <c r="F3" s="4">
        <v>2010</v>
      </c>
      <c r="G3" s="4"/>
      <c r="H3" s="4">
        <v>2011</v>
      </c>
      <c r="I3" s="4"/>
      <c r="J3" s="4">
        <v>2012</v>
      </c>
      <c r="K3" s="4"/>
      <c r="L3" s="4">
        <v>2013</v>
      </c>
      <c r="M3" s="4"/>
      <c r="N3" s="4">
        <v>2014</v>
      </c>
      <c r="O3" s="4"/>
      <c r="P3" s="4">
        <v>2015</v>
      </c>
      <c r="Q3" s="4"/>
      <c r="R3" s="4">
        <v>2016</v>
      </c>
      <c r="S3" s="4"/>
      <c r="T3" s="4">
        <v>2017</v>
      </c>
      <c r="U3" s="4"/>
      <c r="V3" s="4">
        <v>2018</v>
      </c>
      <c r="W3" s="4"/>
      <c r="X3" s="4">
        <v>2019</v>
      </c>
      <c r="Y3" s="4"/>
      <c r="Z3" s="4">
        <v>2020</v>
      </c>
      <c r="AA3" s="4"/>
      <c r="AB3" s="4">
        <v>2021</v>
      </c>
      <c r="AC3" s="4"/>
      <c r="AD3" s="4">
        <v>2022</v>
      </c>
      <c r="AE3" s="4"/>
      <c r="AF3" s="4">
        <v>2023</v>
      </c>
      <c r="AG3" s="4"/>
      <c r="AH3" s="4">
        <v>2024</v>
      </c>
      <c r="AI3" s="4"/>
      <c r="AJ3" s="4">
        <v>2025</v>
      </c>
      <c r="AK3" s="4"/>
      <c r="AL3" s="4">
        <v>2026</v>
      </c>
      <c r="AM3" s="4"/>
      <c r="AN3" s="4">
        <v>2027</v>
      </c>
      <c r="AO3" s="4"/>
      <c r="AP3" s="4">
        <v>2028</v>
      </c>
      <c r="AQ3" s="4"/>
      <c r="AR3" s="4">
        <v>2029</v>
      </c>
      <c r="AS3" s="4"/>
      <c r="AT3" s="4">
        <v>2030</v>
      </c>
      <c r="AU3" s="4"/>
      <c r="AV3" s="4">
        <v>2031</v>
      </c>
      <c r="AW3" s="4"/>
      <c r="AX3" s="4">
        <v>2032</v>
      </c>
      <c r="AY3" s="4"/>
      <c r="AZ3" s="5">
        <v>2033</v>
      </c>
      <c r="BA3" s="5"/>
      <c r="BB3" s="5">
        <v>2034</v>
      </c>
      <c r="BC3" s="5"/>
      <c r="BD3" s="5">
        <v>2035</v>
      </c>
      <c r="BE3" s="5"/>
      <c r="BF3" s="5">
        <v>2036</v>
      </c>
      <c r="BG3" s="5"/>
      <c r="BH3" s="5">
        <v>2037</v>
      </c>
      <c r="BI3" s="5"/>
      <c r="BJ3" s="5">
        <v>2038</v>
      </c>
      <c r="BK3" s="5"/>
      <c r="BL3" s="5">
        <v>2039</v>
      </c>
      <c r="BM3" s="5"/>
      <c r="BN3" s="5">
        <v>2040</v>
      </c>
      <c r="BO3" s="5"/>
      <c r="BP3" s="5">
        <v>2041</v>
      </c>
      <c r="BQ3" s="5"/>
      <c r="BR3" s="5">
        <v>2042</v>
      </c>
      <c r="BS3" s="5"/>
      <c r="BT3" s="5">
        <v>2043</v>
      </c>
      <c r="BU3" s="5"/>
    </row>
    <row r="4" spans="1:73" s="6" customFormat="1" ht="12.75">
      <c r="A4" s="3"/>
      <c r="B4" s="3"/>
      <c r="C4" s="3"/>
      <c r="D4" s="4" t="s">
        <v>4</v>
      </c>
      <c r="E4" s="4" t="s">
        <v>5</v>
      </c>
      <c r="F4" s="4" t="s">
        <v>4</v>
      </c>
      <c r="G4" s="4" t="s">
        <v>5</v>
      </c>
      <c r="H4" s="4" t="s">
        <v>4</v>
      </c>
      <c r="I4" s="4" t="s">
        <v>5</v>
      </c>
      <c r="J4" s="4" t="s">
        <v>4</v>
      </c>
      <c r="K4" s="4" t="s">
        <v>5</v>
      </c>
      <c r="L4" s="4" t="s">
        <v>4</v>
      </c>
      <c r="M4" s="4" t="s">
        <v>5</v>
      </c>
      <c r="N4" s="4" t="s">
        <v>4</v>
      </c>
      <c r="O4" s="4" t="s">
        <v>5</v>
      </c>
      <c r="P4" s="4" t="s">
        <v>4</v>
      </c>
      <c r="Q4" s="4" t="s">
        <v>5</v>
      </c>
      <c r="R4" s="4" t="s">
        <v>4</v>
      </c>
      <c r="S4" s="4" t="s">
        <v>5</v>
      </c>
      <c r="T4" s="4" t="s">
        <v>4</v>
      </c>
      <c r="U4" s="4" t="s">
        <v>5</v>
      </c>
      <c r="V4" s="4" t="s">
        <v>4</v>
      </c>
      <c r="W4" s="4" t="s">
        <v>5</v>
      </c>
      <c r="X4" s="4" t="s">
        <v>4</v>
      </c>
      <c r="Y4" s="4" t="s">
        <v>5</v>
      </c>
      <c r="Z4" s="4" t="s">
        <v>4</v>
      </c>
      <c r="AA4" s="4" t="s">
        <v>5</v>
      </c>
      <c r="AB4" s="4" t="s">
        <v>4</v>
      </c>
      <c r="AC4" s="4" t="s">
        <v>5</v>
      </c>
      <c r="AD4" s="4" t="s">
        <v>4</v>
      </c>
      <c r="AE4" s="7" t="s">
        <v>5</v>
      </c>
      <c r="AF4" s="7" t="s">
        <v>4</v>
      </c>
      <c r="AG4" s="7" t="s">
        <v>5</v>
      </c>
      <c r="AH4" s="7" t="s">
        <v>4</v>
      </c>
      <c r="AI4" s="7" t="s">
        <v>5</v>
      </c>
      <c r="AJ4" s="7" t="s">
        <v>4</v>
      </c>
      <c r="AK4" s="7" t="s">
        <v>5</v>
      </c>
      <c r="AL4" s="7" t="s">
        <v>4</v>
      </c>
      <c r="AM4" s="7" t="s">
        <v>5</v>
      </c>
      <c r="AN4" s="7" t="s">
        <v>4</v>
      </c>
      <c r="AO4" s="7" t="s">
        <v>5</v>
      </c>
      <c r="AP4" s="7" t="s">
        <v>4</v>
      </c>
      <c r="AQ4" s="7" t="s">
        <v>5</v>
      </c>
      <c r="AR4" s="7" t="s">
        <v>4</v>
      </c>
      <c r="AS4" s="7" t="s">
        <v>5</v>
      </c>
      <c r="AT4" s="7" t="s">
        <v>4</v>
      </c>
      <c r="AU4" s="7" t="s">
        <v>5</v>
      </c>
      <c r="AV4" s="7" t="s">
        <v>4</v>
      </c>
      <c r="AW4" s="7" t="s">
        <v>5</v>
      </c>
      <c r="AX4" s="7" t="s">
        <v>4</v>
      </c>
      <c r="AY4" s="7" t="s">
        <v>5</v>
      </c>
      <c r="AZ4" s="5" t="s">
        <v>4</v>
      </c>
      <c r="BA4" s="5" t="s">
        <v>5</v>
      </c>
      <c r="BB4" s="5" t="s">
        <v>4</v>
      </c>
      <c r="BC4" s="5" t="s">
        <v>5</v>
      </c>
      <c r="BD4" s="5" t="s">
        <v>4</v>
      </c>
      <c r="BE4" s="5" t="s">
        <v>5</v>
      </c>
      <c r="BF4" s="5" t="s">
        <v>4</v>
      </c>
      <c r="BG4" s="5" t="s">
        <v>5</v>
      </c>
      <c r="BH4" s="5" t="s">
        <v>4</v>
      </c>
      <c r="BI4" s="5" t="s">
        <v>5</v>
      </c>
      <c r="BJ4" s="5" t="s">
        <v>4</v>
      </c>
      <c r="BK4" s="5" t="s">
        <v>5</v>
      </c>
      <c r="BL4" s="5" t="s">
        <v>4</v>
      </c>
      <c r="BM4" s="5" t="s">
        <v>5</v>
      </c>
      <c r="BN4" s="5" t="s">
        <v>4</v>
      </c>
      <c r="BO4" s="5" t="s">
        <v>5</v>
      </c>
      <c r="BP4" s="5" t="s">
        <v>4</v>
      </c>
      <c r="BQ4" s="5" t="s">
        <v>5</v>
      </c>
      <c r="BR4" s="5" t="s">
        <v>4</v>
      </c>
      <c r="BS4" s="5" t="s">
        <v>5</v>
      </c>
      <c r="BT4" s="5" t="s">
        <v>4</v>
      </c>
      <c r="BU4" s="5" t="s">
        <v>5</v>
      </c>
    </row>
    <row r="5" spans="1:73" ht="36" customHeight="1">
      <c r="A5" s="8" t="s">
        <v>6</v>
      </c>
      <c r="B5" s="9">
        <v>374480</v>
      </c>
      <c r="C5" s="10">
        <v>2017</v>
      </c>
      <c r="D5" s="10">
        <v>25553.83</v>
      </c>
      <c r="E5" s="10">
        <v>41232</v>
      </c>
      <c r="F5" s="10">
        <v>21373.39</v>
      </c>
      <c r="G5" s="10">
        <v>41232</v>
      </c>
      <c r="H5" s="10">
        <v>19148.69</v>
      </c>
      <c r="I5" s="10">
        <v>41232</v>
      </c>
      <c r="J5" s="10">
        <v>16242.67</v>
      </c>
      <c r="K5" s="10">
        <v>41232</v>
      </c>
      <c r="L5" s="10">
        <v>12837.16</v>
      </c>
      <c r="M5" s="10">
        <v>41232</v>
      </c>
      <c r="N5" s="10">
        <v>9658.9</v>
      </c>
      <c r="O5" s="10">
        <v>41232</v>
      </c>
      <c r="P5" s="10">
        <v>6479.9</v>
      </c>
      <c r="Q5" s="10">
        <v>41232</v>
      </c>
      <c r="R5" s="10">
        <v>3308.18</v>
      </c>
      <c r="S5" s="10">
        <v>41232</v>
      </c>
      <c r="T5" s="10">
        <v>461.6</v>
      </c>
      <c r="U5" s="10">
        <v>41232</v>
      </c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</row>
    <row r="6" spans="1:73" ht="33" customHeight="1">
      <c r="A6" s="8" t="s">
        <v>7</v>
      </c>
      <c r="B6" s="9">
        <v>184000</v>
      </c>
      <c r="C6" s="10">
        <v>2012</v>
      </c>
      <c r="D6" s="10">
        <v>8349.05</v>
      </c>
      <c r="E6" s="10">
        <v>37428</v>
      </c>
      <c r="F6" s="10">
        <v>5742.87</v>
      </c>
      <c r="G6" s="10">
        <v>37428</v>
      </c>
      <c r="H6" s="10">
        <v>3134.92</v>
      </c>
      <c r="I6" s="10">
        <v>37428</v>
      </c>
      <c r="J6" s="10">
        <v>654.22</v>
      </c>
      <c r="K6" s="10">
        <v>24952</v>
      </c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</row>
    <row r="7" spans="1:73" ht="30" customHeight="1">
      <c r="A7" s="8" t="s">
        <v>8</v>
      </c>
      <c r="B7" s="9">
        <v>550000</v>
      </c>
      <c r="C7" s="10">
        <v>2022</v>
      </c>
      <c r="D7" s="10">
        <v>4163.06</v>
      </c>
      <c r="E7" s="10">
        <v>7500</v>
      </c>
      <c r="F7" s="10">
        <v>15647.23</v>
      </c>
      <c r="G7" s="10">
        <v>30000</v>
      </c>
      <c r="H7" s="10">
        <v>14261.25</v>
      </c>
      <c r="I7" s="10">
        <v>30000</v>
      </c>
      <c r="J7" s="10">
        <v>12911.94</v>
      </c>
      <c r="K7" s="10">
        <v>30000</v>
      </c>
      <c r="L7" s="10">
        <v>11489.26</v>
      </c>
      <c r="M7" s="10">
        <v>30000</v>
      </c>
      <c r="N7" s="10">
        <v>10103.24</v>
      </c>
      <c r="O7" s="10">
        <v>30000</v>
      </c>
      <c r="P7" s="10">
        <v>8717.25</v>
      </c>
      <c r="Q7" s="10">
        <v>30000</v>
      </c>
      <c r="R7" s="10">
        <v>7352.76</v>
      </c>
      <c r="S7" s="10">
        <v>30000</v>
      </c>
      <c r="T7" s="10">
        <v>5945.25</v>
      </c>
      <c r="U7" s="10">
        <v>30000</v>
      </c>
      <c r="V7" s="10">
        <v>4559.24</v>
      </c>
      <c r="W7" s="10">
        <v>30000</v>
      </c>
      <c r="X7" s="10">
        <v>3173.25</v>
      </c>
      <c r="Y7" s="10">
        <v>30000</v>
      </c>
      <c r="Z7" s="10">
        <v>1793.56</v>
      </c>
      <c r="AA7" s="10">
        <v>30000</v>
      </c>
      <c r="AB7" s="10">
        <v>433.36</v>
      </c>
      <c r="AC7" s="12">
        <v>22500</v>
      </c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1"/>
      <c r="BO7" s="11"/>
      <c r="BP7" s="11"/>
      <c r="BQ7" s="11"/>
      <c r="BR7" s="11"/>
      <c r="BS7" s="11"/>
      <c r="BT7" s="11"/>
      <c r="BU7" s="11"/>
    </row>
    <row r="8" spans="1:73" ht="37.5" customHeight="1">
      <c r="A8" s="8" t="s">
        <v>7</v>
      </c>
      <c r="B8" s="9">
        <v>100000</v>
      </c>
      <c r="C8" s="10">
        <v>2011</v>
      </c>
      <c r="D8" s="10">
        <v>6236.19</v>
      </c>
      <c r="E8" s="10">
        <v>42000</v>
      </c>
      <c r="F8" s="10">
        <v>2753.63</v>
      </c>
      <c r="G8" s="10">
        <v>42000</v>
      </c>
      <c r="H8" s="10">
        <v>143.08</v>
      </c>
      <c r="I8" s="10">
        <v>10500</v>
      </c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2"/>
      <c r="AY8" s="12"/>
      <c r="AZ8" s="12"/>
      <c r="BA8" s="12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2"/>
      <c r="BU8" s="12"/>
    </row>
    <row r="9" spans="1:73" ht="39.75" customHeight="1">
      <c r="A9" s="8" t="s">
        <v>9</v>
      </c>
      <c r="B9" s="9">
        <v>560000</v>
      </c>
      <c r="C9" s="10">
        <v>2033</v>
      </c>
      <c r="D9" s="10">
        <v>79889.34</v>
      </c>
      <c r="E9" s="10">
        <v>40292.99</v>
      </c>
      <c r="F9" s="10">
        <v>78835.71</v>
      </c>
      <c r="G9" s="10">
        <v>45423.78</v>
      </c>
      <c r="H9" s="10">
        <v>77652.22</v>
      </c>
      <c r="I9" s="10">
        <v>50822.75</v>
      </c>
      <c r="J9" s="10">
        <v>76332.14</v>
      </c>
      <c r="K9" s="10">
        <v>56501.32</v>
      </c>
      <c r="L9" s="10">
        <v>74868.4</v>
      </c>
      <c r="M9" s="10">
        <v>62471.41</v>
      </c>
      <c r="N9" s="10">
        <v>73253.68</v>
      </c>
      <c r="O9" s="10">
        <v>68745.36</v>
      </c>
      <c r="P9" s="10">
        <v>71480.28</v>
      </c>
      <c r="Q9" s="10">
        <v>75336.05</v>
      </c>
      <c r="R9" s="10">
        <v>69540.26</v>
      </c>
      <c r="S9" s="10">
        <v>82256.79</v>
      </c>
      <c r="T9" s="10">
        <v>67425.3</v>
      </c>
      <c r="U9" s="10">
        <v>89521.44</v>
      </c>
      <c r="V9" s="10">
        <v>65126.72</v>
      </c>
      <c r="W9" s="10">
        <v>97144.41</v>
      </c>
      <c r="X9" s="10">
        <v>62635.5</v>
      </c>
      <c r="Y9" s="10">
        <v>105140.65</v>
      </c>
      <c r="Z9" s="10">
        <v>59942.24</v>
      </c>
      <c r="AA9" s="10">
        <v>113525.68</v>
      </c>
      <c r="AB9" s="10">
        <v>57037.15</v>
      </c>
      <c r="AC9" s="12">
        <v>122315.64</v>
      </c>
      <c r="AD9" s="12">
        <v>53910.03</v>
      </c>
      <c r="AE9" s="12">
        <v>131527.27</v>
      </c>
      <c r="AF9" s="12">
        <v>50550.27</v>
      </c>
      <c r="AG9" s="12">
        <v>141177.96</v>
      </c>
      <c r="AH9" s="12">
        <v>46946.79</v>
      </c>
      <c r="AI9" s="12">
        <v>151285.79</v>
      </c>
      <c r="AJ9" s="12">
        <v>43088.1</v>
      </c>
      <c r="AK9" s="12">
        <v>161869.48</v>
      </c>
      <c r="AL9" s="12">
        <v>38962.21</v>
      </c>
      <c r="AM9" s="12">
        <v>172948.52</v>
      </c>
      <c r="AN9" s="12">
        <v>34556.64</v>
      </c>
      <c r="AO9" s="12">
        <v>184543.12</v>
      </c>
      <c r="AP9" s="12">
        <v>29858.42</v>
      </c>
      <c r="AQ9" s="12">
        <v>196674.26</v>
      </c>
      <c r="AR9" s="12">
        <v>24854.05</v>
      </c>
      <c r="AS9" s="12">
        <v>209363.71</v>
      </c>
      <c r="AT9" s="12">
        <v>19529.45</v>
      </c>
      <c r="AU9" s="12">
        <v>222634.11</v>
      </c>
      <c r="AV9" s="12">
        <v>13870</v>
      </c>
      <c r="AW9" s="12">
        <v>236508.91</v>
      </c>
      <c r="AX9" s="12">
        <v>7860.51</v>
      </c>
      <c r="AY9" s="12">
        <v>251012.46</v>
      </c>
      <c r="AZ9" s="12">
        <v>1732.16</v>
      </c>
      <c r="BA9" s="12">
        <v>180769.83</v>
      </c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2"/>
      <c r="BU9" s="12"/>
    </row>
    <row r="10" spans="1:73" ht="39" customHeight="1">
      <c r="A10" s="8" t="s">
        <v>10</v>
      </c>
      <c r="B10" s="9">
        <v>230000</v>
      </c>
      <c r="C10" s="10">
        <v>2043</v>
      </c>
      <c r="D10" s="10">
        <v>54652.84</v>
      </c>
      <c r="E10" s="10">
        <v>9690.3</v>
      </c>
      <c r="F10" s="10">
        <v>55061.18</v>
      </c>
      <c r="G10" s="10">
        <v>8763.6</v>
      </c>
      <c r="H10" s="10">
        <v>55427.06</v>
      </c>
      <c r="I10" s="10">
        <v>7754.8</v>
      </c>
      <c r="J10" s="10">
        <v>55746.78</v>
      </c>
      <c r="K10" s="10">
        <v>6659.02</v>
      </c>
      <c r="L10" s="10">
        <v>56016.4</v>
      </c>
      <c r="M10" s="10">
        <v>5471.11</v>
      </c>
      <c r="N10" s="10">
        <v>56231.77</v>
      </c>
      <c r="O10" s="10">
        <v>4185.67</v>
      </c>
      <c r="P10" s="10">
        <v>56388.43</v>
      </c>
      <c r="Q10" s="10">
        <v>2796.97</v>
      </c>
      <c r="R10" s="10">
        <v>56481.79</v>
      </c>
      <c r="S10" s="10">
        <v>1299.07</v>
      </c>
      <c r="T10" s="10">
        <v>56506.85</v>
      </c>
      <c r="U10" s="10">
        <v>314.37</v>
      </c>
      <c r="V10" s="10">
        <v>56458.43</v>
      </c>
      <c r="W10" s="10">
        <v>2049.95</v>
      </c>
      <c r="X10" s="10">
        <v>56330.98</v>
      </c>
      <c r="Y10" s="10">
        <v>3914.64</v>
      </c>
      <c r="Z10" s="10">
        <v>56118.68</v>
      </c>
      <c r="AA10" s="10">
        <v>5915.78</v>
      </c>
      <c r="AB10" s="10">
        <v>55815.38</v>
      </c>
      <c r="AC10" s="12">
        <v>8061.02</v>
      </c>
      <c r="AD10" s="12">
        <v>55414.56</v>
      </c>
      <c r="AE10" s="12">
        <v>10358.48</v>
      </c>
      <c r="AF10" s="12">
        <v>54908.96</v>
      </c>
      <c r="AG10" s="12">
        <v>12869.62</v>
      </c>
      <c r="AH10" s="12">
        <v>54284.53</v>
      </c>
      <c r="AI10" s="12">
        <v>15775.68</v>
      </c>
      <c r="AJ10" s="12">
        <v>53527.29</v>
      </c>
      <c r="AK10" s="12">
        <v>18909.7</v>
      </c>
      <c r="AL10" s="12">
        <v>52627.56</v>
      </c>
      <c r="AM10" s="12">
        <v>22266.84</v>
      </c>
      <c r="AN10" s="12">
        <v>51575.27</v>
      </c>
      <c r="AO10" s="12">
        <v>25859.91</v>
      </c>
      <c r="AP10" s="12">
        <v>50359.76</v>
      </c>
      <c r="AQ10" s="12">
        <v>29702.39</v>
      </c>
      <c r="AR10" s="12">
        <v>48969.75</v>
      </c>
      <c r="AS10" s="12">
        <v>33808.5</v>
      </c>
      <c r="AT10" s="12">
        <v>47393.34</v>
      </c>
      <c r="AU10" s="12">
        <v>38193.14</v>
      </c>
      <c r="AV10" s="12">
        <v>45617.95</v>
      </c>
      <c r="AW10" s="12">
        <v>42872.04</v>
      </c>
      <c r="AX10" s="12">
        <v>43630.3</v>
      </c>
      <c r="AY10" s="12">
        <v>47861.7</v>
      </c>
      <c r="AZ10" s="12">
        <v>41416.33</v>
      </c>
      <c r="BA10" s="12">
        <v>53179.51</v>
      </c>
      <c r="BB10" s="12">
        <v>38961.25</v>
      </c>
      <c r="BC10" s="12">
        <v>58843.74</v>
      </c>
      <c r="BD10" s="12">
        <v>36249.4</v>
      </c>
      <c r="BE10" s="12">
        <v>64873.61</v>
      </c>
      <c r="BF10" s="12">
        <v>33264.3</v>
      </c>
      <c r="BG10" s="12">
        <v>71289.29</v>
      </c>
      <c r="BH10" s="12">
        <v>29988.49</v>
      </c>
      <c r="BI10" s="12">
        <v>78112.06</v>
      </c>
      <c r="BJ10" s="12">
        <v>26404.91</v>
      </c>
      <c r="BK10" s="12">
        <v>85189.22</v>
      </c>
      <c r="BL10" s="12">
        <v>22516.57</v>
      </c>
      <c r="BM10" s="12">
        <v>91976.7</v>
      </c>
      <c r="BN10" s="12">
        <v>18323.84</v>
      </c>
      <c r="BO10" s="12">
        <v>99084.15</v>
      </c>
      <c r="BP10" s="12">
        <v>13810.2</v>
      </c>
      <c r="BQ10" s="12">
        <v>106586.71</v>
      </c>
      <c r="BR10" s="12">
        <v>8957.83</v>
      </c>
      <c r="BS10" s="12">
        <v>114504.08</v>
      </c>
      <c r="BT10" s="12">
        <v>17258.8</v>
      </c>
      <c r="BU10" s="12">
        <v>140720.71</v>
      </c>
    </row>
    <row r="11" spans="1:73" ht="38.25" customHeight="1">
      <c r="A11" s="8" t="s">
        <v>11</v>
      </c>
      <c r="B11" s="9">
        <v>198000</v>
      </c>
      <c r="C11" s="10">
        <v>2030</v>
      </c>
      <c r="D11" s="10">
        <v>68505.52</v>
      </c>
      <c r="E11" s="10">
        <v>19710.28</v>
      </c>
      <c r="F11" s="10">
        <v>67755.41</v>
      </c>
      <c r="G11" s="10">
        <v>24244.9</v>
      </c>
      <c r="H11" s="10">
        <v>66851.41</v>
      </c>
      <c r="I11" s="10">
        <v>29048.15</v>
      </c>
      <c r="J11" s="10">
        <v>65764.52</v>
      </c>
      <c r="K11" s="10">
        <v>34199.55</v>
      </c>
      <c r="L11" s="10">
        <v>64500.88</v>
      </c>
      <c r="M11" s="10">
        <v>39699.98</v>
      </c>
      <c r="N11" s="10">
        <v>63041.94</v>
      </c>
      <c r="O11" s="10">
        <v>45575.26</v>
      </c>
      <c r="P11" s="10">
        <v>61374.55</v>
      </c>
      <c r="Q11" s="10">
        <v>51846.18</v>
      </c>
      <c r="R11" s="10">
        <v>59484.49</v>
      </c>
      <c r="S11" s="10">
        <v>58534.88</v>
      </c>
      <c r="T11" s="10">
        <v>57357.28</v>
      </c>
      <c r="U11" s="10">
        <v>65664.11</v>
      </c>
      <c r="V11" s="10">
        <v>54977.25</v>
      </c>
      <c r="W11" s="10">
        <v>73258.16</v>
      </c>
      <c r="X11" s="10">
        <v>44934.07</v>
      </c>
      <c r="Y11" s="10">
        <v>88736.34</v>
      </c>
      <c r="Z11" s="10">
        <v>42190.84</v>
      </c>
      <c r="AA11" s="10">
        <v>97144.93</v>
      </c>
      <c r="AB11" s="10">
        <v>39191.71</v>
      </c>
      <c r="AC11" s="12">
        <v>106049.53</v>
      </c>
      <c r="AD11" s="12">
        <v>35981.63</v>
      </c>
      <c r="AE11" s="12">
        <v>115415.38</v>
      </c>
      <c r="AF11" s="12">
        <v>32364.780000000002</v>
      </c>
      <c r="AG11" s="12">
        <v>125448.89</v>
      </c>
      <c r="AH11" s="12">
        <v>28504.58</v>
      </c>
      <c r="AI11" s="12">
        <v>135997.71</v>
      </c>
      <c r="AJ11" s="12">
        <v>24323.58</v>
      </c>
      <c r="AK11" s="12">
        <v>147150.82</v>
      </c>
      <c r="AL11" s="12">
        <v>19803.45</v>
      </c>
      <c r="AM11" s="12">
        <v>158938.56</v>
      </c>
      <c r="AN11" s="12">
        <v>14924.94</v>
      </c>
      <c r="AO11" s="12">
        <v>171392.69</v>
      </c>
      <c r="AP11" s="12">
        <v>9667.89</v>
      </c>
      <c r="AQ11" s="12">
        <v>184546.45</v>
      </c>
      <c r="AR11" s="12">
        <v>4011.05</v>
      </c>
      <c r="AS11" s="12">
        <v>198434.68</v>
      </c>
      <c r="AT11" s="12">
        <v>4100.34</v>
      </c>
      <c r="AU11" s="12">
        <v>26698.59</v>
      </c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</row>
    <row r="12" spans="1:140" ht="39" customHeight="1">
      <c r="A12" s="13" t="s">
        <v>12</v>
      </c>
      <c r="B12" s="14">
        <v>127270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</row>
    <row r="13" spans="1:75" s="15" customFormat="1" ht="17.25" customHeight="1">
      <c r="A13" s="16" t="s">
        <v>13</v>
      </c>
      <c r="B13" s="12">
        <f>SUM(B5:B12)</f>
        <v>2323750</v>
      </c>
      <c r="C13" s="12"/>
      <c r="D13" s="12">
        <f>SUM(D5:D12)</f>
        <v>247349.83000000002</v>
      </c>
      <c r="E13" s="9">
        <f>SUM(E5:E12)</f>
        <v>197853.56999999998</v>
      </c>
      <c r="F13" s="9">
        <f>SUM(F5:F12)</f>
        <v>247169.41999999998</v>
      </c>
      <c r="G13" s="9">
        <f>SUM(G5:G12)</f>
        <v>229092.28</v>
      </c>
      <c r="H13" s="9">
        <f>SUM(H5:H12)</f>
        <v>236618.63</v>
      </c>
      <c r="I13" s="9">
        <f>SUM(I5:I12)</f>
        <v>206785.69999999998</v>
      </c>
      <c r="J13" s="9">
        <f>SUM(J5:J12)</f>
        <v>227652.27000000005</v>
      </c>
      <c r="K13" s="9">
        <f>SUM(K5:K12)</f>
        <v>193543.89</v>
      </c>
      <c r="L13" s="9">
        <f>SUM(L5:L12)</f>
        <v>219712.1</v>
      </c>
      <c r="M13" s="9">
        <f>SUM(M5:M12)</f>
        <v>178874.5</v>
      </c>
      <c r="N13" s="9">
        <f>SUM(N5:N12)</f>
        <v>212289.53</v>
      </c>
      <c r="O13" s="9">
        <f>SUM(O5:O12)</f>
        <v>189738.29</v>
      </c>
      <c r="P13" s="9">
        <f>SUM(P5:P12)</f>
        <v>204440.41</v>
      </c>
      <c r="Q13" s="9">
        <f>SUM(Q5:Q12)</f>
        <v>201211.2</v>
      </c>
      <c r="R13" s="9">
        <f>SUM(R5:R12)</f>
        <v>196167.47999999998</v>
      </c>
      <c r="S13" s="9">
        <f>SUM(S5:S12)</f>
        <v>213322.74</v>
      </c>
      <c r="T13" s="9">
        <f>SUM(T5:T12)</f>
        <v>187696.28</v>
      </c>
      <c r="U13" s="9">
        <f>SUM(U5:U12)</f>
        <v>226731.91999999998</v>
      </c>
      <c r="V13" s="9">
        <f>SUM(V5:V12)</f>
        <v>181121.63999999998</v>
      </c>
      <c r="W13" s="9">
        <f>SUM(W5:W12)</f>
        <v>202452.52000000002</v>
      </c>
      <c r="X13" s="9">
        <f>SUM(X5:X12)</f>
        <v>167073.80000000002</v>
      </c>
      <c r="Y13" s="9">
        <f>SUM(Y5:Y12)</f>
        <v>227791.63</v>
      </c>
      <c r="Z13" s="9">
        <f>SUM(Z6:Z12)</f>
        <v>160045.32</v>
      </c>
      <c r="AA13" s="9">
        <f>SUM(AA5:AA12)</f>
        <v>246586.38999999998</v>
      </c>
      <c r="AB13" s="9">
        <f>SUM(AB5:AB12)</f>
        <v>152477.59999999998</v>
      </c>
      <c r="AC13" s="9">
        <f>SUM(AC6:AC12)</f>
        <v>258926.19</v>
      </c>
      <c r="AD13" s="9">
        <f>SUM(AD6:AD12)</f>
        <v>145306.22</v>
      </c>
      <c r="AE13" s="9">
        <f>SUM(AE6:AE12)</f>
        <v>257301.13</v>
      </c>
      <c r="AF13" s="9">
        <f>SUM(AF6:AF12)</f>
        <v>137824.01</v>
      </c>
      <c r="AG13" s="9">
        <f>SUM(AG7:AG12)</f>
        <v>279496.47</v>
      </c>
      <c r="AH13" s="9">
        <f>SUM(AH7:AH12)</f>
        <v>129735.9</v>
      </c>
      <c r="AI13" s="9">
        <f>SUM(AI7:AI12)</f>
        <v>303059.18</v>
      </c>
      <c r="AJ13" s="9">
        <f>SUM(AJ5:AJ12)</f>
        <v>120938.97</v>
      </c>
      <c r="AK13" s="9">
        <f>SUM(AK9:AK12)</f>
        <v>327930</v>
      </c>
      <c r="AL13" s="9">
        <f>SUM(AL9:AL12)</f>
        <v>111393.22</v>
      </c>
      <c r="AM13" s="9">
        <f>SUM(AM9:AM12)</f>
        <v>354153.92</v>
      </c>
      <c r="AN13" s="9">
        <f>SUM(AN9:AN12)</f>
        <v>101056.84999999999</v>
      </c>
      <c r="AO13" s="9">
        <f>SUM(AO9:AO12)</f>
        <v>381795.72</v>
      </c>
      <c r="AP13" s="9">
        <f>SUM(AP9:AP12)</f>
        <v>89886.07</v>
      </c>
      <c r="AQ13" s="9">
        <f>SUM(AQ9:AQ12)</f>
        <v>410923.10000000003</v>
      </c>
      <c r="AR13" s="9">
        <f>SUM(AR9:AR12)</f>
        <v>77834.85</v>
      </c>
      <c r="AS13" s="9">
        <f>SUM(AS9:AS12)</f>
        <v>441606.89</v>
      </c>
      <c r="AT13" s="9">
        <f>SUM(AT9:AT12)</f>
        <v>71023.12999999999</v>
      </c>
      <c r="AU13" s="9">
        <f>SUM(AU9:AU12)</f>
        <v>287525.83999999997</v>
      </c>
      <c r="AV13" s="9">
        <f>SUM(AV9:AV12)</f>
        <v>59487.95</v>
      </c>
      <c r="AW13" s="9">
        <f>SUM(AW9:AW12)</f>
        <v>279380.95</v>
      </c>
      <c r="AX13" s="9">
        <f>SUM(AX9:AX12)</f>
        <v>51490.810000000005</v>
      </c>
      <c r="AY13" s="9">
        <f>SUM(AY9:AY12)</f>
        <v>298874.16</v>
      </c>
      <c r="AZ13" s="9">
        <f>SUM(AZ9:AZ12)</f>
        <v>43148.490000000005</v>
      </c>
      <c r="BA13" s="9">
        <f>SUM(BA9:BA12)</f>
        <v>233949.34</v>
      </c>
      <c r="BB13" s="9">
        <f>SUM(BB10:BB12)</f>
        <v>38961.25</v>
      </c>
      <c r="BC13" s="9">
        <f>SUM(BC10:BC12)</f>
        <v>58843.74</v>
      </c>
      <c r="BD13" s="9">
        <f>SUM(BD10:BD12)</f>
        <v>36249.4</v>
      </c>
      <c r="BE13" s="9">
        <f>SUM(BE10:BE12)</f>
        <v>64873.61</v>
      </c>
      <c r="BF13" s="9">
        <f>SUM(BF10:BF12)</f>
        <v>33264.3</v>
      </c>
      <c r="BG13" s="9">
        <f>SUM(BG10:BG12)</f>
        <v>71289.29</v>
      </c>
      <c r="BH13" s="9">
        <f>SUM(BH10:BH12)</f>
        <v>29988.49</v>
      </c>
      <c r="BI13" s="9">
        <f>SUM(BI10:BI12)</f>
        <v>78112.06</v>
      </c>
      <c r="BJ13" s="9">
        <f>SUM(BJ10:BJ12)</f>
        <v>26404.91</v>
      </c>
      <c r="BK13" s="9">
        <f>SUM(BK10:BK12)</f>
        <v>85189.22</v>
      </c>
      <c r="BL13" s="9">
        <f>SUM(BL10:BL12)</f>
        <v>22516.57</v>
      </c>
      <c r="BM13" s="9">
        <f>SUM(BM10:BM12)</f>
        <v>91976.7</v>
      </c>
      <c r="BN13" s="9">
        <f>SUM(BN10:BN12)</f>
        <v>18323.84</v>
      </c>
      <c r="BO13" s="9">
        <f>SUM(BO10:BO12)</f>
        <v>99084.15</v>
      </c>
      <c r="BP13" s="9">
        <f>SUM(BP10:BP12)</f>
        <v>13810.2</v>
      </c>
      <c r="BQ13" s="9">
        <f>SUM(BQ10:BQ12)</f>
        <v>106586.71</v>
      </c>
      <c r="BR13" s="9">
        <f>SUM(BR10:BR12)</f>
        <v>8957.83</v>
      </c>
      <c r="BS13" s="9">
        <f>SUM(BS10:BS12)</f>
        <v>114504.08</v>
      </c>
      <c r="BT13" s="9">
        <f>SUM(BT10:BT12)</f>
        <v>17258.8</v>
      </c>
      <c r="BU13" s="9">
        <f>SUM(BU10:BU12)</f>
        <v>140720.71</v>
      </c>
      <c r="BV13" s="17"/>
      <c r="BW13" s="17"/>
    </row>
    <row r="14" spans="1:75" s="2" customFormat="1" ht="17.25" customHeight="1">
      <c r="A14" s="4" t="s">
        <v>14</v>
      </c>
      <c r="B14" s="18"/>
      <c r="C14" s="18"/>
      <c r="D14" s="18">
        <f>D13+E13</f>
        <v>445203.4</v>
      </c>
      <c r="E14" s="18"/>
      <c r="F14" s="18">
        <f>F13+G13</f>
        <v>476261.69999999995</v>
      </c>
      <c r="G14" s="18"/>
      <c r="H14" s="18">
        <f>H13+I13</f>
        <v>443404.32999999996</v>
      </c>
      <c r="I14" s="18"/>
      <c r="J14" s="18">
        <f>J13+K13</f>
        <v>421196.16000000003</v>
      </c>
      <c r="K14" s="18"/>
      <c r="L14" s="18">
        <f>L13+M13</f>
        <v>398586.6</v>
      </c>
      <c r="M14" s="18"/>
      <c r="N14" s="18">
        <f>N13+O13</f>
        <v>402027.82</v>
      </c>
      <c r="O14" s="18"/>
      <c r="P14" s="18">
        <f>P13+Q13</f>
        <v>405651.61</v>
      </c>
      <c r="Q14" s="18"/>
      <c r="R14" s="18">
        <f>R13+S13</f>
        <v>409490.22</v>
      </c>
      <c r="S14" s="18"/>
      <c r="T14" s="18">
        <f>T13+U13</f>
        <v>414428.19999999995</v>
      </c>
      <c r="U14" s="18"/>
      <c r="V14" s="18">
        <f>V13+W13</f>
        <v>383574.16000000003</v>
      </c>
      <c r="W14" s="18"/>
      <c r="X14" s="18">
        <f>X13+Y13</f>
        <v>394865.43000000005</v>
      </c>
      <c r="Y14" s="18"/>
      <c r="Z14" s="18">
        <f>Z13+AA13</f>
        <v>406631.70999999996</v>
      </c>
      <c r="AA14" s="18"/>
      <c r="AB14" s="18">
        <f>AB13+AC13</f>
        <v>411403.79</v>
      </c>
      <c r="AC14" s="18"/>
      <c r="AD14" s="18">
        <f>AD13+AE13</f>
        <v>402607.35</v>
      </c>
      <c r="AE14" s="18"/>
      <c r="AF14" s="18">
        <f>AF13+AG13</f>
        <v>417320.48</v>
      </c>
      <c r="AG14" s="18"/>
      <c r="AH14" s="18">
        <f>AH13+AI13</f>
        <v>432795.07999999996</v>
      </c>
      <c r="AI14" s="18"/>
      <c r="AJ14" s="18">
        <f>AJ13+AK13</f>
        <v>448868.97</v>
      </c>
      <c r="AK14" s="18"/>
      <c r="AL14" s="18">
        <f>AL13+AM13</f>
        <v>465547.14</v>
      </c>
      <c r="AM14" s="18"/>
      <c r="AN14" s="18">
        <f>AN13+AO13</f>
        <v>482852.56999999995</v>
      </c>
      <c r="AO14" s="18"/>
      <c r="AP14" s="18">
        <f>AP13+AQ13</f>
        <v>500809.17000000004</v>
      </c>
      <c r="AQ14" s="18"/>
      <c r="AR14" s="18">
        <f>AR13+AS13</f>
        <v>519441.74</v>
      </c>
      <c r="AS14" s="18"/>
      <c r="AT14" s="18">
        <f>AT13+AU13</f>
        <v>358548.97</v>
      </c>
      <c r="AU14" s="18"/>
      <c r="AV14" s="18">
        <f>AV13+AW13</f>
        <v>338868.9</v>
      </c>
      <c r="AW14" s="18"/>
      <c r="AX14" s="18">
        <f>AX13+AY13</f>
        <v>350364.97</v>
      </c>
      <c r="AY14" s="18"/>
      <c r="AZ14" s="18">
        <f>AZ13+BA13</f>
        <v>277097.83</v>
      </c>
      <c r="BA14" s="18"/>
      <c r="BB14" s="18">
        <f>BB13+BC13</f>
        <v>97804.98999999999</v>
      </c>
      <c r="BC14" s="18"/>
      <c r="BD14" s="18">
        <f>BD13+BE13</f>
        <v>101123.01000000001</v>
      </c>
      <c r="BE14" s="18"/>
      <c r="BF14" s="18">
        <f>BF13+BG13</f>
        <v>104553.59</v>
      </c>
      <c r="BG14" s="18"/>
      <c r="BH14" s="18">
        <f>BH13+BI13</f>
        <v>108100.55</v>
      </c>
      <c r="BI14" s="18"/>
      <c r="BJ14" s="18">
        <f>BJ13+BK13</f>
        <v>111594.13</v>
      </c>
      <c r="BK14" s="18"/>
      <c r="BL14" s="18">
        <f>BL13+BM13</f>
        <v>114493.26999999999</v>
      </c>
      <c r="BM14" s="18"/>
      <c r="BN14" s="18">
        <f>BN13+BO13</f>
        <v>117407.98999999999</v>
      </c>
      <c r="BO14" s="18"/>
      <c r="BP14" s="18">
        <f>BP13+BQ13</f>
        <v>120396.91</v>
      </c>
      <c r="BQ14" s="18"/>
      <c r="BR14" s="18">
        <f>BR13+BS13</f>
        <v>123461.91</v>
      </c>
      <c r="BS14" s="18"/>
      <c r="BT14" s="18">
        <f>BT13+BU13</f>
        <v>157979.50999999998</v>
      </c>
      <c r="BU14" s="18"/>
      <c r="BV14" s="19"/>
      <c r="BW14" s="19"/>
    </row>
    <row r="15" spans="1:82" ht="12.75">
      <c r="A15" s="20"/>
      <c r="B15" s="20"/>
      <c r="C15" s="20"/>
      <c r="D15" s="21"/>
      <c r="E15" s="17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15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</row>
    <row r="16" spans="1:53" ht="12.7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15"/>
      <c r="AZ16" s="15"/>
      <c r="BA16" s="15"/>
    </row>
    <row r="17" spans="1:53" ht="12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15"/>
      <c r="AZ17" s="15"/>
      <c r="BA17" s="15"/>
    </row>
    <row r="18" spans="1:53" ht="12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15"/>
      <c r="AZ18" s="15"/>
      <c r="BA18" s="15"/>
    </row>
    <row r="19" spans="1:53" ht="12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15"/>
      <c r="AZ19" s="15"/>
      <c r="BA19" s="15"/>
    </row>
    <row r="20" spans="1:53" ht="12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2"/>
      <c r="AR20" s="22"/>
      <c r="AS20" s="22"/>
      <c r="AT20" s="22"/>
      <c r="AU20" s="22"/>
      <c r="AV20" s="22"/>
      <c r="AW20" s="22"/>
      <c r="AX20" s="22"/>
      <c r="AY20" s="15"/>
      <c r="AZ20" s="15"/>
      <c r="BA20" s="15"/>
    </row>
    <row r="21" spans="1:53" ht="12.7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2"/>
      <c r="AR21" s="22"/>
      <c r="AS21" s="22"/>
      <c r="AT21" s="22"/>
      <c r="AU21" s="22"/>
      <c r="AV21" s="22"/>
      <c r="AW21" s="22"/>
      <c r="AX21" s="22"/>
      <c r="AY21" s="15"/>
      <c r="AZ21" s="15"/>
      <c r="BA21" s="15"/>
    </row>
    <row r="22" spans="1:53" ht="12.7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2"/>
      <c r="AR22" s="22"/>
      <c r="AS22" s="22"/>
      <c r="AT22" s="22"/>
      <c r="AU22" s="22"/>
      <c r="AV22" s="22"/>
      <c r="AW22" s="22"/>
      <c r="AX22" s="22"/>
      <c r="AY22" s="15"/>
      <c r="AZ22" s="15"/>
      <c r="BA22" s="15"/>
    </row>
    <row r="23" spans="1:53" ht="12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2"/>
      <c r="AR23" s="22"/>
      <c r="AS23" s="22"/>
      <c r="AT23" s="22"/>
      <c r="AU23" s="22"/>
      <c r="AV23" s="22"/>
      <c r="AW23" s="22"/>
      <c r="AX23" s="22"/>
      <c r="AY23" s="15"/>
      <c r="AZ23" s="15"/>
      <c r="BA23" s="15"/>
    </row>
    <row r="24" spans="1:53" ht="12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2"/>
      <c r="AR24" s="22"/>
      <c r="AS24" s="22"/>
      <c r="AT24" s="22"/>
      <c r="AU24" s="22"/>
      <c r="AV24" s="22"/>
      <c r="AW24" s="22"/>
      <c r="AX24" s="22"/>
      <c r="AY24" s="15"/>
      <c r="AZ24" s="15"/>
      <c r="BA24" s="15"/>
    </row>
    <row r="25" spans="1:50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</row>
    <row r="26" spans="1:50" ht="12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</row>
    <row r="27" spans="1:50" ht="12.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</row>
    <row r="28" spans="1:50" ht="12.7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</row>
    <row r="29" spans="1:50" ht="12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</row>
    <row r="30" spans="22:50" ht="12.75"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</row>
    <row r="31" spans="22:50" ht="12.75"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</row>
    <row r="32" spans="22:50" ht="12.75"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</row>
    <row r="33" spans="22:50" ht="12.75"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</row>
    <row r="34" spans="22:50" ht="12.75"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</row>
    <row r="35" spans="22:50" ht="12.75"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</row>
    <row r="36" spans="22:50" ht="12.75"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</row>
    <row r="37" spans="22:50" ht="12.75"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</row>
    <row r="38" spans="22:50" ht="12.75"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</row>
    <row r="39" spans="22:50" ht="12.75"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</row>
  </sheetData>
  <mergeCells count="74">
    <mergeCell ref="A1:P2"/>
    <mergeCell ref="A3:A4"/>
    <mergeCell ref="B3:B4"/>
    <mergeCell ref="C3:C4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AN3:AO3"/>
    <mergeCell ref="AP3:AQ3"/>
    <mergeCell ref="AR3:AS3"/>
    <mergeCell ref="AT3:AU3"/>
    <mergeCell ref="AV3:AW3"/>
    <mergeCell ref="AX3:AY3"/>
    <mergeCell ref="AZ3:BA3"/>
    <mergeCell ref="BB3:BC3"/>
    <mergeCell ref="BD3:BE3"/>
    <mergeCell ref="BF3:BG3"/>
    <mergeCell ref="BH3:BI3"/>
    <mergeCell ref="BJ3:BK3"/>
    <mergeCell ref="BL3:BM3"/>
    <mergeCell ref="BN3:BO3"/>
    <mergeCell ref="BP3:BQ3"/>
    <mergeCell ref="BR3:BS3"/>
    <mergeCell ref="BT3:BU3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AN14:AO14"/>
    <mergeCell ref="AP14:AQ14"/>
    <mergeCell ref="AR14:AS14"/>
    <mergeCell ref="AT14:AU14"/>
    <mergeCell ref="AV14:AW14"/>
    <mergeCell ref="AX14:AY14"/>
    <mergeCell ref="AZ14:BA14"/>
    <mergeCell ref="BB14:BC14"/>
    <mergeCell ref="BD14:BE14"/>
    <mergeCell ref="BF14:BG14"/>
    <mergeCell ref="BH14:BI14"/>
    <mergeCell ref="BJ14:BK14"/>
    <mergeCell ref="BL14:BM14"/>
    <mergeCell ref="BN14:BO14"/>
    <mergeCell ref="BP14:BQ14"/>
    <mergeCell ref="BR14:BS14"/>
    <mergeCell ref="BT14:BU1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1"/>
  <sheetViews>
    <sheetView showGridLines="0" defaultGridColor="0" view="pageBreakPreview" zoomScale="80" zoomScaleSheetLayoutView="80" colorId="15" workbookViewId="0" topLeftCell="A1">
      <selection activeCell="T11" sqref="T11"/>
    </sheetView>
  </sheetViews>
  <sheetFormatPr defaultColWidth="9.00390625" defaultRowHeight="12.75"/>
  <cols>
    <col min="1" max="1" width="9.25390625" style="24" customWidth="1"/>
    <col min="2" max="2" width="14.00390625" style="25" customWidth="1"/>
    <col min="3" max="3" width="0" style="25" hidden="1" customWidth="1"/>
    <col min="4" max="9" width="9.25390625" style="25" customWidth="1"/>
    <col min="10" max="13" width="8.75390625" style="25" customWidth="1"/>
    <col min="14" max="14" width="10.25390625" style="25" customWidth="1"/>
    <col min="15" max="16" width="9.125" style="25" customWidth="1"/>
    <col min="17" max="18" width="0" style="25" hidden="1" customWidth="1"/>
    <col min="19" max="19" width="12.00390625" style="25" customWidth="1"/>
    <col min="20" max="20" width="12.125" style="25" customWidth="1"/>
    <col min="21" max="21" width="11.25390625" style="25" customWidth="1"/>
    <col min="22" max="245" width="9.125" style="25" customWidth="1"/>
  </cols>
  <sheetData>
    <row r="1" spans="1:19" ht="17.25">
      <c r="A1" s="26" t="s">
        <v>15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  <c r="Q1" s="27"/>
      <c r="R1" s="27"/>
      <c r="S1" s="27"/>
    </row>
    <row r="2" spans="1:19" ht="12.75">
      <c r="A2" s="28"/>
      <c r="B2" s="29"/>
      <c r="C2" s="30" t="s">
        <v>16</v>
      </c>
      <c r="D2" s="30" t="s">
        <v>17</v>
      </c>
      <c r="E2" s="30">
        <v>2011</v>
      </c>
      <c r="F2" s="30">
        <v>2012</v>
      </c>
      <c r="G2" s="30">
        <v>2013</v>
      </c>
      <c r="H2" s="30">
        <v>2014</v>
      </c>
      <c r="I2" s="30">
        <v>2015</v>
      </c>
      <c r="J2" s="30">
        <v>2016</v>
      </c>
      <c r="K2" s="30">
        <v>2017</v>
      </c>
      <c r="L2" s="30">
        <v>2018</v>
      </c>
      <c r="M2" s="30">
        <v>2019</v>
      </c>
      <c r="N2" s="30">
        <v>2020</v>
      </c>
      <c r="O2" s="30">
        <v>2021</v>
      </c>
      <c r="P2" s="30">
        <v>2022</v>
      </c>
      <c r="Q2" s="30">
        <v>2023</v>
      </c>
      <c r="R2" s="30">
        <v>2024</v>
      </c>
      <c r="S2" s="30" t="s">
        <v>13</v>
      </c>
    </row>
    <row r="3" spans="1:256" s="34" customFormat="1" ht="12.75">
      <c r="A3" s="30"/>
      <c r="B3" s="31" t="s">
        <v>18</v>
      </c>
      <c r="C3" s="32">
        <f>SUM(C4:C13)</f>
        <v>1750567</v>
      </c>
      <c r="D3" s="32">
        <f>SUM(D4:D13)</f>
        <v>1508113.8399999999</v>
      </c>
      <c r="E3" s="32">
        <f>SUM(E4:E13)</f>
        <v>1366972.235999999</v>
      </c>
      <c r="F3" s="32">
        <f>SUM(F4:F13)</f>
        <v>1954845.762769999</v>
      </c>
      <c r="G3" s="32">
        <f>SUM(G4:G13)</f>
        <v>1954835.762769999</v>
      </c>
      <c r="H3" s="32">
        <f>SUM(H4:H13)</f>
        <v>1933835.762769999</v>
      </c>
      <c r="I3" s="32">
        <f>SUM(I4:I13)</f>
        <v>1354835.762769999</v>
      </c>
      <c r="J3" s="32">
        <f>SUM(J4:J13)</f>
        <v>1065672.8267699997</v>
      </c>
      <c r="K3" s="32">
        <f>SUM(K4:K13)</f>
        <v>111110</v>
      </c>
      <c r="L3" s="32">
        <f>SUM(L4:L13)</f>
        <v>111110</v>
      </c>
      <c r="M3" s="32">
        <f>SUM(M4:M13)</f>
        <v>111110</v>
      </c>
      <c r="N3" s="32">
        <f>SUM(N4:N13)</f>
        <v>111110</v>
      </c>
      <c r="O3" s="32">
        <f>SUM(O4:O13)</f>
        <v>0</v>
      </c>
      <c r="P3" s="32">
        <f>SUM(P4:P13)</f>
        <v>0</v>
      </c>
      <c r="Q3" s="32">
        <f>SUM(Q4:Q13)</f>
        <v>0</v>
      </c>
      <c r="R3" s="32">
        <f>SUM(R4:R13)</f>
        <v>0</v>
      </c>
      <c r="S3" s="33">
        <f>SUM(C3:R3)</f>
        <v>13334118.953849996</v>
      </c>
      <c r="IL3" s="35"/>
      <c r="IM3" s="35"/>
      <c r="IN3" s="35"/>
      <c r="IO3" s="35"/>
      <c r="IP3" s="35"/>
      <c r="IQ3" s="35"/>
      <c r="IR3" s="35"/>
      <c r="IS3" s="35"/>
      <c r="IT3" s="35"/>
      <c r="IU3" s="35"/>
      <c r="IV3" s="35"/>
    </row>
    <row r="4" spans="1:19" ht="12.75">
      <c r="A4" s="36">
        <v>1</v>
      </c>
      <c r="B4" s="37" t="s">
        <v>19</v>
      </c>
      <c r="C4" s="38">
        <v>480000</v>
      </c>
      <c r="D4" s="38">
        <v>348272</v>
      </c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3">
        <f>SUM(D4:R4)</f>
        <v>348272</v>
      </c>
    </row>
    <row r="5" spans="1:19" ht="12.75" hidden="1">
      <c r="A5" s="36">
        <v>2</v>
      </c>
      <c r="B5" s="37" t="s">
        <v>20</v>
      </c>
      <c r="C5" s="38">
        <v>386567</v>
      </c>
      <c r="D5" s="38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3">
        <f>SUM(D5:R5)</f>
        <v>0</v>
      </c>
    </row>
    <row r="6" spans="1:19" ht="12.75">
      <c r="A6" s="36">
        <v>3</v>
      </c>
      <c r="B6" s="37" t="s">
        <v>19</v>
      </c>
      <c r="C6" s="38">
        <v>384000</v>
      </c>
      <c r="D6" s="38">
        <v>384000</v>
      </c>
      <c r="E6" s="38">
        <v>384000</v>
      </c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3">
        <f>SUM(D6:R6)</f>
        <v>768000</v>
      </c>
    </row>
    <row r="7" spans="1:19" ht="12.75">
      <c r="A7" s="36">
        <v>4</v>
      </c>
      <c r="B7" s="37" t="s">
        <v>21</v>
      </c>
      <c r="C7" s="39"/>
      <c r="D7" s="39">
        <f>30398.14*4+4080*4+2914.28*4+3851.42*4+2716.62*4</f>
        <v>175841.84</v>
      </c>
      <c r="E7" s="39">
        <f>269651.14-D7</f>
        <v>93809.30000000002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3">
        <f>SUM(D7:R7)</f>
        <v>269651.14</v>
      </c>
    </row>
    <row r="8" spans="1:19" ht="12.75" hidden="1">
      <c r="A8" s="36">
        <v>5</v>
      </c>
      <c r="B8" s="37" t="s">
        <v>19</v>
      </c>
      <c r="C8" s="38">
        <v>500000</v>
      </c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3">
        <f>SUM(D8:R8)</f>
        <v>0</v>
      </c>
    </row>
    <row r="9" spans="1:19" ht="12.75">
      <c r="A9" s="36">
        <v>6</v>
      </c>
      <c r="B9" s="37" t="s">
        <v>21</v>
      </c>
      <c r="C9" s="38"/>
      <c r="D9" s="38">
        <v>600000</v>
      </c>
      <c r="E9" s="38">
        <f>D9</f>
        <v>600000</v>
      </c>
      <c r="F9" s="38">
        <f>E9</f>
        <v>600000</v>
      </c>
      <c r="G9" s="38">
        <f>F9</f>
        <v>600000</v>
      </c>
      <c r="H9" s="38">
        <f>G9-21000</f>
        <v>579000</v>
      </c>
      <c r="I9" s="38"/>
      <c r="J9" s="38"/>
      <c r="K9" s="38"/>
      <c r="L9" s="38"/>
      <c r="M9" s="38"/>
      <c r="N9" s="38"/>
      <c r="O9" s="38"/>
      <c r="P9" s="38"/>
      <c r="Q9" s="38"/>
      <c r="R9" s="38"/>
      <c r="S9" s="33">
        <f>SUM(D9:R9)</f>
        <v>2979000</v>
      </c>
    </row>
    <row r="10" spans="1:19" ht="12.75">
      <c r="A10" s="36">
        <v>7</v>
      </c>
      <c r="B10" s="37" t="s">
        <v>22</v>
      </c>
      <c r="C10" s="38"/>
      <c r="D10" s="38"/>
      <c r="E10" s="38">
        <f>informacja!$F$16/5</f>
        <v>289162.9359999992</v>
      </c>
      <c r="F10" s="38">
        <f>informacja!$F$16/5</f>
        <v>289162.9359999992</v>
      </c>
      <c r="G10" s="38">
        <f>informacja!$F$16/5</f>
        <v>289162.9359999992</v>
      </c>
      <c r="H10" s="38">
        <f>informacja!$F$16/5</f>
        <v>289162.9359999992</v>
      </c>
      <c r="I10" s="38">
        <f>informacja!$F$16/5</f>
        <v>289162.9359999992</v>
      </c>
      <c r="J10" s="38"/>
      <c r="K10" s="38"/>
      <c r="L10" s="38"/>
      <c r="M10" s="38"/>
      <c r="N10" s="38"/>
      <c r="O10" s="38"/>
      <c r="P10" s="38"/>
      <c r="Q10" s="38"/>
      <c r="R10" s="38"/>
      <c r="S10" s="33">
        <f>SUM(D10:R10)</f>
        <v>1445814.679999996</v>
      </c>
    </row>
    <row r="11" spans="1:20" ht="23.25">
      <c r="A11" s="36"/>
      <c r="B11" s="37" t="s">
        <v>23</v>
      </c>
      <c r="C11" s="38"/>
      <c r="D11" s="38"/>
      <c r="E11" s="38"/>
      <c r="F11" s="38">
        <f>55555*2+10</f>
        <v>111120</v>
      </c>
      <c r="G11" s="38">
        <f>55555*2</f>
        <v>111110</v>
      </c>
      <c r="H11" s="38">
        <f>55555*2</f>
        <v>111110</v>
      </c>
      <c r="I11" s="38">
        <f>55555*2</f>
        <v>111110</v>
      </c>
      <c r="J11" s="38">
        <f>55555*2</f>
        <v>111110</v>
      </c>
      <c r="K11" s="38">
        <f>55555*2</f>
        <v>111110</v>
      </c>
      <c r="L11" s="38">
        <f>55555*2</f>
        <v>111110</v>
      </c>
      <c r="M11" s="38">
        <f>55555*2</f>
        <v>111110</v>
      </c>
      <c r="N11" s="38">
        <f>55555*2</f>
        <v>111110</v>
      </c>
      <c r="O11" s="38"/>
      <c r="P11" s="38"/>
      <c r="Q11" s="38"/>
      <c r="R11" s="38"/>
      <c r="S11" s="33">
        <f>SUM(D11:R11)</f>
        <v>1000000</v>
      </c>
      <c r="T11" s="25">
        <f>informacja!F15-informacja!F20-informacja!F21-S33-S11-S10</f>
        <v>-1</v>
      </c>
    </row>
    <row r="12" spans="1:19" ht="12.75">
      <c r="A12" s="36">
        <v>8</v>
      </c>
      <c r="B12" s="37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3">
        <f>SUM(D12:R12)</f>
        <v>0</v>
      </c>
    </row>
    <row r="13" spans="1:20" ht="12.75">
      <c r="A13" s="36">
        <v>9</v>
      </c>
      <c r="B13" s="37" t="s">
        <v>24</v>
      </c>
      <c r="C13" s="38"/>
      <c r="D13" s="38"/>
      <c r="E13" s="38"/>
      <c r="F13" s="38">
        <f>informacja!$G$16/5</f>
        <v>954562.8267699998</v>
      </c>
      <c r="G13" s="38">
        <f>informacja!$G$16/5</f>
        <v>954562.8267699998</v>
      </c>
      <c r="H13" s="38">
        <f>informacja!$G$16/5</f>
        <v>954562.8267699998</v>
      </c>
      <c r="I13" s="38">
        <f>informacja!$G$16/5</f>
        <v>954562.8267699998</v>
      </c>
      <c r="J13" s="38">
        <f>informacja!$G$16/5</f>
        <v>954562.8267699998</v>
      </c>
      <c r="K13" s="38"/>
      <c r="L13" s="38"/>
      <c r="M13" s="38"/>
      <c r="N13" s="38"/>
      <c r="O13" s="38"/>
      <c r="P13" s="38"/>
      <c r="Q13" s="38"/>
      <c r="R13" s="38"/>
      <c r="S13" s="33">
        <f>SUM(D13:R13)</f>
        <v>4772814.133849999</v>
      </c>
      <c r="T13" s="40"/>
    </row>
    <row r="14" spans="1:19" ht="12.75">
      <c r="A14" s="36"/>
      <c r="B14" s="37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3"/>
    </row>
    <row r="15" spans="1:256" s="34" customFormat="1" ht="12.75">
      <c r="A15" s="30"/>
      <c r="B15" s="31" t="s">
        <v>25</v>
      </c>
      <c r="C15" s="32">
        <f>C3+C17</f>
        <v>1950663.2801961643</v>
      </c>
      <c r="D15" s="32">
        <f>D3+D17</f>
        <v>1861165.520316164</v>
      </c>
      <c r="E15" s="32">
        <f>E3+E17</f>
        <v>1724008.209508807</v>
      </c>
      <c r="F15" s="32">
        <f>F3+F17</f>
        <v>2443709.5978191486</v>
      </c>
      <c r="G15" s="32">
        <f>G3+G17</f>
        <v>2331697.870751719</v>
      </c>
      <c r="H15" s="32">
        <f>H3+H17</f>
        <v>2198696.143684289</v>
      </c>
      <c r="I15" s="32">
        <f>I3+I17</f>
        <v>1508912.416616859</v>
      </c>
      <c r="J15" s="32">
        <f>J3+J17</f>
        <v>1142547.7535494296</v>
      </c>
      <c r="K15" s="32">
        <f>K3+K17</f>
        <v>127554.65</v>
      </c>
      <c r="L15" s="32">
        <f>L3+L17</f>
        <v>123443.58</v>
      </c>
      <c r="M15" s="32">
        <f>M3+M17</f>
        <v>119332.51</v>
      </c>
      <c r="N15" s="32">
        <f>N3+N17</f>
        <v>115221.44</v>
      </c>
      <c r="O15" s="32">
        <f>O3+O17</f>
        <v>0</v>
      </c>
      <c r="P15" s="32">
        <f>P3+P17</f>
        <v>0</v>
      </c>
      <c r="Q15" s="32">
        <f>Q3+Q17</f>
        <v>0</v>
      </c>
      <c r="R15" s="32">
        <f>R3+R17</f>
        <v>0</v>
      </c>
      <c r="S15" s="33">
        <f>SUM(D15:R15)</f>
        <v>13696289.692246415</v>
      </c>
      <c r="IL15"/>
      <c r="IM15"/>
      <c r="IN15"/>
      <c r="IO15"/>
      <c r="IP15"/>
      <c r="IQ15"/>
      <c r="IR15"/>
      <c r="IS15"/>
      <c r="IT15"/>
      <c r="IU15"/>
      <c r="IV15"/>
    </row>
    <row r="16" spans="1:19" ht="12.75">
      <c r="A16" s="30"/>
      <c r="B16" s="31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</row>
    <row r="17" spans="1:19" ht="12.75">
      <c r="A17" s="36"/>
      <c r="B17" s="31" t="s">
        <v>26</v>
      </c>
      <c r="C17" s="32">
        <f>SUM(C18:C27)</f>
        <v>200096.28019616439</v>
      </c>
      <c r="D17" s="32">
        <f>SUM(D18:D27)</f>
        <v>353051.6803161643</v>
      </c>
      <c r="E17" s="32">
        <f>SUM(E18:E27)</f>
        <v>357035.9735088078</v>
      </c>
      <c r="F17" s="32">
        <f>SUM(F18:F27)</f>
        <v>488863.83504914975</v>
      </c>
      <c r="G17" s="32">
        <f>SUM(G18:G27)</f>
        <v>376862.10798171983</v>
      </c>
      <c r="H17" s="32">
        <f>SUM(H18:H27)</f>
        <v>264860.3809142899</v>
      </c>
      <c r="I17" s="32">
        <f>SUM(I18:I27)</f>
        <v>154076.65384685993</v>
      </c>
      <c r="J17" s="32">
        <f>SUM(J18:J27)</f>
        <v>76874.92677942998</v>
      </c>
      <c r="K17" s="32">
        <f>SUM(K18:K27)</f>
        <v>16444.649999999998</v>
      </c>
      <c r="L17" s="32">
        <f>SUM(L18:L27)</f>
        <v>12333.58</v>
      </c>
      <c r="M17" s="32">
        <f>SUM(M18:M27)</f>
        <v>8222.51</v>
      </c>
      <c r="N17" s="32">
        <f>SUM(N18:N27)</f>
        <v>4111.44</v>
      </c>
      <c r="O17" s="32">
        <f>SUM(O18:O27)</f>
        <v>0</v>
      </c>
      <c r="P17" s="32">
        <f>SUM(P18:P27)</f>
        <v>0</v>
      </c>
      <c r="Q17" s="32">
        <f>SUM(Q18:Q27)</f>
        <v>0</v>
      </c>
      <c r="R17" s="32">
        <f>SUM(R18:R27)</f>
        <v>0</v>
      </c>
      <c r="S17" s="33">
        <f>SUM(D17:R17)</f>
        <v>2112737.7383964215</v>
      </c>
    </row>
    <row r="18" spans="1:19" ht="12.75">
      <c r="A18" s="36">
        <v>1</v>
      </c>
      <c r="B18" s="37" t="s">
        <v>19</v>
      </c>
      <c r="C18" s="39">
        <v>49587</v>
      </c>
      <c r="D18" s="39">
        <v>21567</v>
      </c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3">
        <f>SUM(D18:R18)</f>
        <v>21567</v>
      </c>
    </row>
    <row r="19" spans="1:19" ht="12.75" hidden="1">
      <c r="A19" s="36">
        <v>2</v>
      </c>
      <c r="B19" s="37" t="s">
        <v>20</v>
      </c>
      <c r="C19" s="39">
        <f>((C4+D4+E4)*6.57*30/36500)*12</f>
        <v>53672.02559999999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3">
        <f>SUM(D19:R19)</f>
        <v>0</v>
      </c>
    </row>
    <row r="20" spans="1:19" ht="12.75">
      <c r="A20" s="36">
        <v>3</v>
      </c>
      <c r="B20" s="37" t="s">
        <v>19</v>
      </c>
      <c r="C20" s="39">
        <f>((C6+D6+E6)*6.57*30/36500)*12</f>
        <v>74649.6</v>
      </c>
      <c r="D20" s="39">
        <f>((D6+E6)*6.57*30/36500)*12</f>
        <v>49766.399999999994</v>
      </c>
      <c r="E20" s="38">
        <f>((E6)*6.57*30/36500)*12</f>
        <v>24883.199999999997</v>
      </c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3">
        <f>SUM(D20:R20)</f>
        <v>74649.59999999999</v>
      </c>
    </row>
    <row r="21" spans="1:19" ht="12.75">
      <c r="A21" s="36">
        <v>4</v>
      </c>
      <c r="B21" s="37" t="s">
        <v>21</v>
      </c>
      <c r="C21" s="39">
        <f>((E7+D7)*3.15*30/36500)*12</f>
        <v>8377.654596164384</v>
      </c>
      <c r="D21" s="39">
        <f>((D7+E7)*3.15*30/36500)*12</f>
        <v>8377.654596164384</v>
      </c>
      <c r="E21" s="39">
        <f>((E7+F7)*3.15*30/36500)*12</f>
        <v>2914.5135945205484</v>
      </c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3">
        <f>SUM(D21:R21)</f>
        <v>11292.168190684934</v>
      </c>
    </row>
    <row r="22" spans="1:19" ht="12.75" hidden="1">
      <c r="A22" s="36">
        <v>5</v>
      </c>
      <c r="B22" s="37" t="s">
        <v>19</v>
      </c>
      <c r="C22" s="39">
        <v>13810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3">
        <f>SUM(D22:R22)</f>
        <v>0</v>
      </c>
    </row>
    <row r="23" spans="1:19" ht="12.75">
      <c r="A23" s="36">
        <v>6</v>
      </c>
      <c r="B23" s="37" t="s">
        <v>21</v>
      </c>
      <c r="C23" s="39"/>
      <c r="D23" s="39">
        <f>S9*5.8/100</f>
        <v>172782</v>
      </c>
      <c r="E23" s="38">
        <f>($S$9-$D$9)*5.8/100</f>
        <v>137982</v>
      </c>
      <c r="F23" s="38">
        <f>($S$9-$D$9-$E$9)*5.8/100</f>
        <v>103182</v>
      </c>
      <c r="G23" s="38">
        <f>($S$9-$D$9-$E$9-$F$9)*5.8/100</f>
        <v>68382</v>
      </c>
      <c r="H23" s="38">
        <f>($S$9-$D$9-$E$9-$F$9-$G$9)*5.8/100</f>
        <v>33582</v>
      </c>
      <c r="I23" s="38">
        <f>($S$9-$D$9-$E$9-$F$9-$G$9-$H$9)*5.8/100</f>
        <v>0</v>
      </c>
      <c r="J23" s="38"/>
      <c r="K23" s="38"/>
      <c r="L23" s="38"/>
      <c r="M23" s="38"/>
      <c r="N23" s="39"/>
      <c r="O23" s="39"/>
      <c r="P23" s="39"/>
      <c r="Q23" s="39"/>
      <c r="R23" s="39"/>
      <c r="S23" s="33">
        <f>SUM(D23:R23)</f>
        <v>515910</v>
      </c>
    </row>
    <row r="24" spans="1:19" ht="12.75">
      <c r="A24" s="36">
        <v>7</v>
      </c>
      <c r="B24" s="37" t="s">
        <v>22</v>
      </c>
      <c r="C24" s="39"/>
      <c r="D24" s="39">
        <f>$S$10*0.058/2</f>
        <v>41928.62571999988</v>
      </c>
      <c r="E24" s="39">
        <f>$S$10*5.8%</f>
        <v>83857.25143999976</v>
      </c>
      <c r="F24" s="39">
        <f>($S$10-F10)*0.058</f>
        <v>67085.8011519998</v>
      </c>
      <c r="G24" s="39">
        <f>($S$10-G10*2)*0.058</f>
        <v>50314.35086399986</v>
      </c>
      <c r="H24" s="39">
        <f>($S$10-H10*3)*0.058</f>
        <v>33542.90057599991</v>
      </c>
      <c r="I24" s="38">
        <f>($S$10-I10*4)*0.058</f>
        <v>16771.45028799996</v>
      </c>
      <c r="J24" s="39"/>
      <c r="K24" s="39"/>
      <c r="L24" s="39"/>
      <c r="M24" s="39"/>
      <c r="N24" s="39"/>
      <c r="O24" s="39"/>
      <c r="P24" s="39"/>
      <c r="Q24" s="39"/>
      <c r="R24" s="39"/>
      <c r="S24" s="33">
        <f>SUM(D24:R24)</f>
        <v>293500.38003999915</v>
      </c>
    </row>
    <row r="25" spans="1:19" ht="23.25">
      <c r="A25" s="36"/>
      <c r="B25" s="37" t="s">
        <v>23</v>
      </c>
      <c r="C25" s="39"/>
      <c r="D25" s="39">
        <f>$S$11*0.037/4</f>
        <v>9250</v>
      </c>
      <c r="E25" s="39">
        <f>$S$11*0.037</f>
        <v>37000</v>
      </c>
      <c r="F25" s="39">
        <f>$S$11*0.037</f>
        <v>37000</v>
      </c>
      <c r="G25" s="39">
        <f>($S$11-G11)*0.037</f>
        <v>32888.93</v>
      </c>
      <c r="H25" s="39">
        <f>($S$11-H11*2)*0.037</f>
        <v>28777.859999999997</v>
      </c>
      <c r="I25" s="39">
        <f>($S$11-I11*3)*0.037</f>
        <v>24666.789999999997</v>
      </c>
      <c r="J25" s="38">
        <f>($S$11-J11*4)*0.037</f>
        <v>20555.719999999998</v>
      </c>
      <c r="K25" s="38">
        <f>($S$11-K11*5)*0.037</f>
        <v>16444.649999999998</v>
      </c>
      <c r="L25" s="38">
        <f>($S$11-L11*6)*0.037</f>
        <v>12333.58</v>
      </c>
      <c r="M25" s="38">
        <f>($S$11-M11*7)*0.037</f>
        <v>8222.51</v>
      </c>
      <c r="N25" s="38">
        <f>($S$11-N11*8)*0.037</f>
        <v>4111.44</v>
      </c>
      <c r="O25" s="39"/>
      <c r="P25" s="39"/>
      <c r="Q25" s="39"/>
      <c r="R25" s="39"/>
      <c r="S25" s="33">
        <f>SUM(D25:R25)</f>
        <v>231251.47999999998</v>
      </c>
    </row>
    <row r="26" spans="1:19" ht="12.75">
      <c r="A26" s="36">
        <v>8</v>
      </c>
      <c r="B26" s="37" t="s">
        <v>27</v>
      </c>
      <c r="C26" s="39"/>
      <c r="D26" s="39">
        <f>$S$12*0.058/3+49380</f>
        <v>49380</v>
      </c>
      <c r="E26" s="39">
        <f>$S$12*0.058</f>
        <v>0</v>
      </c>
      <c r="F26" s="39">
        <f>($S$12-F12)*0.058</f>
        <v>0</v>
      </c>
      <c r="G26" s="39">
        <f>($S$12-G12*2)*0.058</f>
        <v>0</v>
      </c>
      <c r="H26" s="39">
        <f>($S$12-H12*3)*0.058</f>
        <v>0</v>
      </c>
      <c r="I26" s="38">
        <f>($S$12-I12*4)*0.058</f>
        <v>0</v>
      </c>
      <c r="J26" s="38"/>
      <c r="K26" s="38"/>
      <c r="L26" s="38"/>
      <c r="M26" s="38"/>
      <c r="N26" s="38"/>
      <c r="O26" s="39"/>
      <c r="P26" s="39"/>
      <c r="Q26" s="39"/>
      <c r="R26" s="39"/>
      <c r="S26" s="33">
        <f>SUM(D26:R26)</f>
        <v>49380</v>
      </c>
    </row>
    <row r="27" spans="1:19" ht="12.75">
      <c r="A27" s="36">
        <v>9</v>
      </c>
      <c r="B27" s="37" t="s">
        <v>24</v>
      </c>
      <c r="C27" s="39"/>
      <c r="D27" s="39"/>
      <c r="E27" s="39">
        <f>(($S$13)*5.9)/100/4</f>
        <v>70399.00847428749</v>
      </c>
      <c r="F27" s="39">
        <f>(($S$13)*5.9)/100</f>
        <v>281596.03389714996</v>
      </c>
      <c r="G27" s="39">
        <f>(($S$13-G13)*5.9)/100</f>
        <v>225276.82711771998</v>
      </c>
      <c r="H27" s="39">
        <f>(($S$13-H13*2)*5.9)/100</f>
        <v>168957.62033829</v>
      </c>
      <c r="I27" s="39">
        <f>(($S$13-I13*3)*5.9)/100</f>
        <v>112638.41355885997</v>
      </c>
      <c r="J27" s="39">
        <f>(($S$13-J13*4)*5.9)/100</f>
        <v>56319.20677942999</v>
      </c>
      <c r="K27" s="38"/>
      <c r="L27" s="38"/>
      <c r="M27" s="38"/>
      <c r="N27" s="38"/>
      <c r="O27" s="38"/>
      <c r="P27" s="38"/>
      <c r="Q27" s="38"/>
      <c r="R27" s="38"/>
      <c r="S27" s="33">
        <f>SUM(D27:R27)</f>
        <v>915187.1101657375</v>
      </c>
    </row>
    <row r="28" spans="1:19" ht="12.75">
      <c r="A28" s="36"/>
      <c r="B28" s="37"/>
      <c r="C28" s="39"/>
      <c r="D28" s="39"/>
      <c r="E28" s="39"/>
      <c r="F28" s="39"/>
      <c r="G28" s="39"/>
      <c r="H28" s="39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3"/>
    </row>
    <row r="29" spans="1:19" ht="16.5">
      <c r="A29" s="41" t="s">
        <v>28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</row>
    <row r="30" spans="1:19" ht="12.75">
      <c r="A30" s="28"/>
      <c r="B30" s="29"/>
      <c r="C30" s="30" t="s">
        <v>16</v>
      </c>
      <c r="D30" s="30" t="s">
        <v>17</v>
      </c>
      <c r="E30" s="30">
        <v>2011</v>
      </c>
      <c r="F30" s="30">
        <v>2012</v>
      </c>
      <c r="G30" s="30">
        <v>2013</v>
      </c>
      <c r="H30" s="30">
        <v>2014</v>
      </c>
      <c r="I30" s="30">
        <v>2015</v>
      </c>
      <c r="J30" s="30">
        <v>2016</v>
      </c>
      <c r="K30" s="30">
        <v>2017</v>
      </c>
      <c r="L30" s="30">
        <v>2018</v>
      </c>
      <c r="M30" s="30">
        <v>2019</v>
      </c>
      <c r="N30" s="30">
        <v>2020</v>
      </c>
      <c r="O30" s="30">
        <v>2021</v>
      </c>
      <c r="P30" s="30">
        <v>2022</v>
      </c>
      <c r="Q30" s="30">
        <v>2023</v>
      </c>
      <c r="R30" s="30">
        <v>2024</v>
      </c>
      <c r="S30" s="33">
        <f>SUM(D30:R30)</f>
        <v>28245</v>
      </c>
    </row>
    <row r="31" spans="1:19" ht="12.75">
      <c r="A31" s="36"/>
      <c r="B31" s="31" t="s">
        <v>29</v>
      </c>
      <c r="C31" s="38">
        <f>SUM(C32:C33)</f>
        <v>0</v>
      </c>
      <c r="D31" s="38">
        <f>SUM(D32:D33)</f>
        <v>0</v>
      </c>
      <c r="E31" s="38">
        <f>SUM(E32:E33)</f>
        <v>0</v>
      </c>
      <c r="F31" s="32">
        <f>SUM(F32:F33)</f>
        <v>2000000</v>
      </c>
      <c r="G31" s="32">
        <f>SUM(G32:G33)</f>
        <v>2000000</v>
      </c>
      <c r="H31" s="32">
        <f>SUM(H32:H33)</f>
        <v>2000000</v>
      </c>
      <c r="I31" s="32">
        <f>SUM(I32:I33)</f>
        <v>2000000</v>
      </c>
      <c r="J31" s="32">
        <f>SUM(J32:J33)</f>
        <v>2000000</v>
      </c>
      <c r="K31" s="32">
        <f>SUM(K32:K33)</f>
        <v>2000000</v>
      </c>
      <c r="L31" s="32">
        <f>SUM(L32:L33)</f>
        <v>2000000</v>
      </c>
      <c r="M31" s="32">
        <f>SUM(M32:M33)</f>
        <v>2000000</v>
      </c>
      <c r="N31" s="38">
        <f>SUM(N32:N33)</f>
        <v>1000000</v>
      </c>
      <c r="O31" s="38">
        <f>SUM(O32:O33)</f>
        <v>1000000</v>
      </c>
      <c r="P31" s="38">
        <f>SUM(P32:P33)</f>
        <v>1000000</v>
      </c>
      <c r="Q31" s="38">
        <f>SUM(Q32:Q33)</f>
        <v>0</v>
      </c>
      <c r="R31" s="38">
        <f>SUM(R32:R33)</f>
        <v>0</v>
      </c>
      <c r="S31" s="33">
        <f>SUM(D31:R31)</f>
        <v>19000000</v>
      </c>
    </row>
    <row r="32" spans="1:19" ht="12.75">
      <c r="A32" s="36">
        <v>1</v>
      </c>
      <c r="B32" s="37" t="s">
        <v>30</v>
      </c>
      <c r="C32" s="38"/>
      <c r="D32" s="38"/>
      <c r="E32" s="39"/>
      <c r="F32" s="39">
        <v>1000000</v>
      </c>
      <c r="G32" s="39">
        <v>1000000</v>
      </c>
      <c r="H32" s="39">
        <v>1000000</v>
      </c>
      <c r="I32" s="39">
        <v>1000000</v>
      </c>
      <c r="J32" s="39">
        <v>1000000</v>
      </c>
      <c r="K32" s="39">
        <v>1000000</v>
      </c>
      <c r="L32" s="39">
        <v>1000000</v>
      </c>
      <c r="M32" s="39">
        <v>1000000</v>
      </c>
      <c r="N32" s="39"/>
      <c r="O32" s="39"/>
      <c r="P32" s="39"/>
      <c r="Q32" s="39"/>
      <c r="R32" s="39"/>
      <c r="S32" s="33">
        <f>SUM(D32:R32)</f>
        <v>8000000</v>
      </c>
    </row>
    <row r="33" spans="1:19" ht="12.75">
      <c r="A33" s="36">
        <v>2</v>
      </c>
      <c r="B33" s="37"/>
      <c r="C33" s="38"/>
      <c r="D33" s="38"/>
      <c r="E33" s="38"/>
      <c r="F33" s="39">
        <v>1000000</v>
      </c>
      <c r="G33" s="39">
        <v>1000000</v>
      </c>
      <c r="H33" s="39">
        <v>1000000</v>
      </c>
      <c r="I33" s="39">
        <v>1000000</v>
      </c>
      <c r="J33" s="39">
        <v>1000000</v>
      </c>
      <c r="K33" s="39">
        <v>1000000</v>
      </c>
      <c r="L33" s="39">
        <v>1000000</v>
      </c>
      <c r="M33" s="39">
        <v>1000000</v>
      </c>
      <c r="N33" s="39">
        <v>1000000</v>
      </c>
      <c r="O33" s="39">
        <v>1000000</v>
      </c>
      <c r="P33" s="39">
        <v>1000000</v>
      </c>
      <c r="Q33" s="39"/>
      <c r="R33" s="39"/>
      <c r="S33" s="33">
        <f>SUM(D33:R33)</f>
        <v>11000000</v>
      </c>
    </row>
    <row r="34" spans="1:19" ht="12.75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3"/>
    </row>
    <row r="35" spans="1:19" ht="12.75">
      <c r="A35" s="30"/>
      <c r="B35" s="31" t="s">
        <v>25</v>
      </c>
      <c r="C35" s="32">
        <f>C31+C37</f>
        <v>230229</v>
      </c>
      <c r="D35" s="32">
        <f>D31+D37</f>
        <v>616515</v>
      </c>
      <c r="E35" s="32">
        <f>E31+E37</f>
        <v>1097200</v>
      </c>
      <c r="F35" s="32">
        <f>F31+F37</f>
        <v>3097200</v>
      </c>
      <c r="G35" s="32">
        <f>G31+G37</f>
        <v>2981800</v>
      </c>
      <c r="H35" s="32">
        <f>H31+H37</f>
        <v>2866400</v>
      </c>
      <c r="I35" s="32">
        <f>I31+I37</f>
        <v>2751000</v>
      </c>
      <c r="J35" s="32">
        <f>J31+J37</f>
        <v>2635600</v>
      </c>
      <c r="K35" s="32">
        <f>K31+K37</f>
        <v>2520200</v>
      </c>
      <c r="L35" s="32">
        <f>L31+L37</f>
        <v>2404800</v>
      </c>
      <c r="M35" s="32">
        <f>M31+M37</f>
        <v>2289400</v>
      </c>
      <c r="N35" s="32">
        <f>N31+N37</f>
        <v>1174000</v>
      </c>
      <c r="O35" s="32">
        <f>O31+O37</f>
        <v>1116000</v>
      </c>
      <c r="P35" s="32">
        <f>P31+P37</f>
        <v>1058000</v>
      </c>
      <c r="Q35" s="32">
        <f>Q31+Q37</f>
        <v>0</v>
      </c>
      <c r="R35" s="32">
        <f>R31+R37</f>
        <v>0</v>
      </c>
      <c r="S35" s="33">
        <f>SUM(D35:R35)</f>
        <v>26608115</v>
      </c>
    </row>
    <row r="36" spans="1:19" ht="12.75">
      <c r="A36" s="30"/>
      <c r="B36" s="31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>
        <f>SUM(D36:R36)</f>
        <v>0</v>
      </c>
    </row>
    <row r="37" spans="1:19" ht="12.75">
      <c r="A37" s="36"/>
      <c r="B37" s="31" t="s">
        <v>26</v>
      </c>
      <c r="C37" s="32">
        <f>SUM(C38:C39)</f>
        <v>230229</v>
      </c>
      <c r="D37" s="32">
        <f>SUM(D38:D39)</f>
        <v>616515</v>
      </c>
      <c r="E37" s="32">
        <f>SUM(E38:E39)</f>
        <v>1097200</v>
      </c>
      <c r="F37" s="32">
        <f>SUM(F38:F39)</f>
        <v>1097200</v>
      </c>
      <c r="G37" s="32">
        <f>SUM(G38:G39)</f>
        <v>981800</v>
      </c>
      <c r="H37" s="32">
        <f>SUM(H38:H39)</f>
        <v>866400</v>
      </c>
      <c r="I37" s="32">
        <f>SUM(I38:I39)</f>
        <v>751000</v>
      </c>
      <c r="J37" s="32">
        <f>SUM(J38:J39)</f>
        <v>635600</v>
      </c>
      <c r="K37" s="32">
        <f>SUM(K38:K39)</f>
        <v>520200</v>
      </c>
      <c r="L37" s="32">
        <f>SUM(L38:L39)</f>
        <v>404800</v>
      </c>
      <c r="M37" s="32">
        <f>SUM(M38:M39)</f>
        <v>289400</v>
      </c>
      <c r="N37" s="32">
        <f>SUM(N38:N39)</f>
        <v>174000</v>
      </c>
      <c r="O37" s="32">
        <f>SUM(O38:O39)</f>
        <v>116000</v>
      </c>
      <c r="P37" s="32">
        <f>SUM(P38:P39)</f>
        <v>58000</v>
      </c>
      <c r="Q37" s="32">
        <f>SUM(Q38:Q39)</f>
        <v>0</v>
      </c>
      <c r="R37" s="32">
        <f>SUM(R38:R39)</f>
        <v>0</v>
      </c>
      <c r="S37" s="33">
        <f>SUM(D37:R37)</f>
        <v>7608115</v>
      </c>
    </row>
    <row r="38" spans="1:19" ht="12.75">
      <c r="A38" s="36">
        <v>1</v>
      </c>
      <c r="B38" s="37" t="s">
        <v>30</v>
      </c>
      <c r="C38" s="39">
        <v>230229</v>
      </c>
      <c r="D38" s="39">
        <v>459200</v>
      </c>
      <c r="E38" s="39">
        <v>459200</v>
      </c>
      <c r="F38" s="39">
        <v>459200</v>
      </c>
      <c r="G38" s="39">
        <v>401800</v>
      </c>
      <c r="H38" s="39">
        <v>344400</v>
      </c>
      <c r="I38" s="39">
        <v>287000</v>
      </c>
      <c r="J38" s="39">
        <v>229600</v>
      </c>
      <c r="K38" s="39">
        <v>172200</v>
      </c>
      <c r="L38" s="39">
        <v>114800</v>
      </c>
      <c r="M38" s="39">
        <v>57400</v>
      </c>
      <c r="N38" s="39"/>
      <c r="O38" s="39"/>
      <c r="P38" s="39"/>
      <c r="Q38" s="39"/>
      <c r="R38" s="39"/>
      <c r="S38" s="33">
        <f>SUM(D38:R38)</f>
        <v>2984800</v>
      </c>
    </row>
    <row r="39" spans="1:19" ht="12.75">
      <c r="A39" s="36">
        <v>2</v>
      </c>
      <c r="B39" s="37"/>
      <c r="C39" s="39">
        <f>((C33+D33+E33)*6.57*30/36500)*12</f>
        <v>0</v>
      </c>
      <c r="D39" s="39">
        <v>157315</v>
      </c>
      <c r="E39" s="38">
        <v>638000</v>
      </c>
      <c r="F39" s="39">
        <v>638000</v>
      </c>
      <c r="G39" s="39">
        <v>580000</v>
      </c>
      <c r="H39" s="39">
        <v>522000</v>
      </c>
      <c r="I39" s="39">
        <v>464000</v>
      </c>
      <c r="J39" s="38">
        <v>406000</v>
      </c>
      <c r="K39" s="38">
        <v>348000</v>
      </c>
      <c r="L39" s="39">
        <v>290000</v>
      </c>
      <c r="M39" s="39">
        <v>232000</v>
      </c>
      <c r="N39" s="39">
        <v>174000</v>
      </c>
      <c r="O39" s="39">
        <v>116000</v>
      </c>
      <c r="P39" s="39">
        <v>58000</v>
      </c>
      <c r="Q39" s="39"/>
      <c r="R39" s="39"/>
      <c r="S39" s="33"/>
    </row>
    <row r="40" spans="1:256" s="45" customFormat="1" ht="34.5" customHeight="1">
      <c r="A40" s="42" t="s">
        <v>31</v>
      </c>
      <c r="B40" s="42"/>
      <c r="C40" s="42"/>
      <c r="D40" s="43">
        <f>D3+D31</f>
        <v>1508113.8399999999</v>
      </c>
      <c r="E40" s="43">
        <f>E3+E31</f>
        <v>1366972.235999999</v>
      </c>
      <c r="F40" s="44">
        <f>F3+F31</f>
        <v>3954845.762769999</v>
      </c>
      <c r="G40" s="44">
        <v>522000</v>
      </c>
      <c r="H40" s="44">
        <f>H3+H31</f>
        <v>3933835.762769999</v>
      </c>
      <c r="I40" s="44">
        <f>I3+I31</f>
        <v>3354835.762769999</v>
      </c>
      <c r="J40" s="44">
        <f>J3+J31</f>
        <v>3065672.8267699997</v>
      </c>
      <c r="K40" s="44">
        <f>K3+K31</f>
        <v>2111110</v>
      </c>
      <c r="L40" s="44">
        <f>L3+L31</f>
        <v>2111110</v>
      </c>
      <c r="M40" s="44">
        <f>M3+M31</f>
        <v>2111110</v>
      </c>
      <c r="N40" s="44">
        <f>N3+N31</f>
        <v>1111110</v>
      </c>
      <c r="O40" s="44">
        <f>O3+O31</f>
        <v>1000000</v>
      </c>
      <c r="P40" s="44">
        <f>P3+P31</f>
        <v>1000000</v>
      </c>
      <c r="Q40" s="44">
        <f>Q3+Q31</f>
        <v>0</v>
      </c>
      <c r="R40" s="44">
        <f>R3+R31</f>
        <v>0</v>
      </c>
      <c r="S40" s="6"/>
      <c r="T40" s="34"/>
      <c r="U40" s="34"/>
      <c r="V40" s="34"/>
      <c r="W40" s="34"/>
      <c r="IL40" s="46"/>
      <c r="IM40" s="46"/>
      <c r="IN40" s="46"/>
      <c r="IO40" s="46"/>
      <c r="IP40" s="46"/>
      <c r="IQ40" s="46"/>
      <c r="IR40" s="46"/>
      <c r="IS40" s="46"/>
      <c r="IT40" s="46"/>
      <c r="IU40" s="46"/>
      <c r="IV40" s="46"/>
    </row>
    <row r="41" spans="1:19" ht="12.75">
      <c r="A41" s="47"/>
      <c r="B41" s="47"/>
      <c r="C41" s="47"/>
      <c r="D41" s="47"/>
      <c r="E41" s="47"/>
      <c r="F41" s="47"/>
      <c r="G41"/>
      <c r="H41" s="47"/>
      <c r="I41" s="43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2.75">
      <c r="A42" s="47"/>
      <c r="B42" s="47"/>
      <c r="C42" s="47"/>
      <c r="D42" s="48"/>
      <c r="E42" s="48"/>
      <c r="F42" s="48"/>
      <c r="G42"/>
      <c r="H42" s="48"/>
      <c r="I42" s="43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2.75">
      <c r="A43" s="47"/>
      <c r="B43" s="47"/>
      <c r="C43" s="48"/>
      <c r="D43" s="48"/>
      <c r="E43" s="48"/>
      <c r="F43" s="48"/>
      <c r="G43"/>
      <c r="H43" s="48"/>
      <c r="I43" s="43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2.75">
      <c r="A44" s="25"/>
      <c r="J44" s="48"/>
      <c r="K44" s="48"/>
      <c r="L44" s="48"/>
      <c r="M44" s="48"/>
      <c r="N44" s="48"/>
      <c r="O44" s="48"/>
      <c r="P44" s="48"/>
      <c r="Q44" s="48"/>
      <c r="R44" s="48"/>
      <c r="S44" s="44"/>
    </row>
    <row r="45" spans="1:19" ht="12.75">
      <c r="A45" s="25"/>
      <c r="J45" s="47"/>
      <c r="K45" s="47"/>
      <c r="L45" s="47"/>
      <c r="M45" s="47"/>
      <c r="N45" s="47"/>
      <c r="O45" s="47"/>
      <c r="P45" s="47"/>
      <c r="Q45" s="47"/>
      <c r="R45" s="47"/>
      <c r="S45" s="43"/>
    </row>
    <row r="46" spans="1:19" ht="12.75">
      <c r="A46" s="49"/>
      <c r="B46" s="49"/>
      <c r="C46" s="49"/>
      <c r="D46" s="49"/>
      <c r="E46" s="49"/>
      <c r="F46" s="49"/>
      <c r="G46" s="49"/>
      <c r="H46" s="49"/>
      <c r="I46" s="49"/>
      <c r="J46" s="47"/>
      <c r="K46" s="47"/>
      <c r="L46" s="47"/>
      <c r="M46" s="47"/>
      <c r="N46" s="47"/>
      <c r="O46" s="47"/>
      <c r="P46" s="47"/>
      <c r="Q46" s="47"/>
      <c r="R46" s="47"/>
      <c r="S46" s="43"/>
    </row>
    <row r="47" spans="1:19" ht="12.75">
      <c r="A47" s="49"/>
      <c r="B47" s="49"/>
      <c r="C47" s="49"/>
      <c r="D47" s="49"/>
      <c r="E47" s="49"/>
      <c r="F47" s="49"/>
      <c r="G47" s="49"/>
      <c r="H47" s="49"/>
      <c r="I47" s="49"/>
      <c r="J47" s="47"/>
      <c r="K47" s="47"/>
      <c r="L47" s="47"/>
      <c r="M47" s="47"/>
      <c r="N47" s="47"/>
      <c r="O47" s="47"/>
      <c r="P47" s="47"/>
      <c r="Q47" s="47"/>
      <c r="R47" s="47"/>
      <c r="S47" s="43"/>
    </row>
    <row r="48" spans="1:19" ht="12.75">
      <c r="A48" s="50"/>
      <c r="B48" s="51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3"/>
    </row>
    <row r="49" spans="1:19" ht="12.75">
      <c r="A49" s="50"/>
      <c r="B49" s="51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3"/>
    </row>
    <row r="50" spans="1:19" ht="12.75">
      <c r="A50" s="50"/>
      <c r="B50" s="51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3"/>
    </row>
    <row r="51" spans="1:19" ht="12.75">
      <c r="A51" s="50"/>
      <c r="B51" s="51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3"/>
    </row>
    <row r="52" spans="1:19" ht="12.75">
      <c r="A52" s="49"/>
      <c r="B52" s="52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</row>
    <row r="53" spans="1:19" ht="12.75">
      <c r="A53" s="49"/>
      <c r="B53" s="52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</row>
    <row r="54" spans="1:19" ht="12.75">
      <c r="A54" s="50"/>
      <c r="B54" s="52"/>
      <c r="C54" s="44"/>
      <c r="D54" s="48"/>
      <c r="E54" s="48"/>
      <c r="F54" s="48"/>
      <c r="G54" s="48"/>
      <c r="H54" s="48"/>
      <c r="I54" s="48"/>
      <c r="J54" s="44"/>
      <c r="K54" s="44"/>
      <c r="L54" s="44"/>
      <c r="M54" s="44"/>
      <c r="N54" s="44"/>
      <c r="O54" s="44"/>
      <c r="P54" s="44"/>
      <c r="Q54" s="44"/>
      <c r="R54" s="44"/>
      <c r="S54" s="44"/>
    </row>
    <row r="55" spans="1:19" ht="12.75">
      <c r="A55" s="50"/>
      <c r="B55" s="51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3"/>
    </row>
    <row r="56" spans="1:19" ht="12.75">
      <c r="A56" s="50"/>
      <c r="B56" s="51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3"/>
    </row>
    <row r="57" spans="1:19" ht="12.75">
      <c r="A57" s="50"/>
      <c r="B57" s="52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3"/>
    </row>
    <row r="58" spans="1:19" ht="12.75">
      <c r="A58" s="50"/>
      <c r="B58" s="51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3"/>
    </row>
    <row r="59" spans="1:19" ht="12.75">
      <c r="A59" s="50"/>
      <c r="B59" s="51"/>
      <c r="C59" s="47"/>
      <c r="D59" s="47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3"/>
    </row>
    <row r="60" spans="1:19" ht="12.75">
      <c r="A60" s="50"/>
      <c r="B60" s="51"/>
      <c r="C60" s="47"/>
      <c r="D60" s="47"/>
      <c r="E60" s="47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3"/>
    </row>
    <row r="61" spans="1:19" ht="12.75">
      <c r="A61" s="50"/>
      <c r="B61" s="51"/>
      <c r="C61" s="47"/>
      <c r="D61" s="47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3"/>
    </row>
  </sheetData>
  <mergeCells count="3">
    <mergeCell ref="A1:O1"/>
    <mergeCell ref="A29:S29"/>
    <mergeCell ref="A40:C40"/>
  </mergeCells>
  <printOptions/>
  <pageMargins left="0.39375" right="0.39375" top="0.39375" bottom="0.39375" header="0.5118055555555555" footer="0.5118055555555555"/>
  <pageSetup horizontalDpi="300" verticalDpi="300" orientation="landscape" paperSize="9"/>
  <colBreaks count="1" manualBreakCount="1">
    <brk id="1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R77"/>
  <sheetViews>
    <sheetView showGridLines="0" tabSelected="1" defaultGridColor="0" view="pageBreakPreview" zoomScale="80" zoomScaleSheetLayoutView="80" colorId="15" workbookViewId="0" topLeftCell="A1">
      <selection activeCell="I12" sqref="I12"/>
    </sheetView>
  </sheetViews>
  <sheetFormatPr defaultColWidth="9.00390625" defaultRowHeight="12.75"/>
  <cols>
    <col min="1" max="1" width="3.875" style="53" customWidth="1"/>
    <col min="2" max="2" width="42.50390625" style="54" customWidth="1"/>
    <col min="3" max="3" width="0" style="55" hidden="1" customWidth="1"/>
    <col min="4" max="4" width="13.50390625" style="55" customWidth="1"/>
    <col min="5" max="5" width="11.875" style="55" customWidth="1"/>
    <col min="6" max="6" width="12.50390625" style="55" customWidth="1"/>
    <col min="7" max="7" width="12.375" style="55" customWidth="1"/>
    <col min="8" max="8" width="11.375" style="55" customWidth="1"/>
    <col min="9" max="9" width="13.25390625" style="55" customWidth="1"/>
    <col min="10" max="10" width="12.25390625" style="55" customWidth="1"/>
    <col min="11" max="11" width="11.00390625" style="55" customWidth="1"/>
    <col min="12" max="12" width="12.875" style="55" customWidth="1"/>
    <col min="13" max="13" width="11.375" style="55" customWidth="1"/>
    <col min="14" max="14" width="11.75390625" style="55" customWidth="1"/>
    <col min="15" max="15" width="13.50390625" style="55" customWidth="1"/>
    <col min="16" max="17" width="11.375" style="55" customWidth="1"/>
    <col min="18" max="19" width="11.75390625" style="55" customWidth="1"/>
    <col min="20" max="20" width="11.50390625" style="55" customWidth="1"/>
    <col min="21" max="21" width="9.125" style="55" customWidth="1"/>
    <col min="22" max="22" width="13.00390625" style="55" customWidth="1"/>
    <col min="23" max="16384" width="9.125" style="55" customWidth="1"/>
  </cols>
  <sheetData>
    <row r="1" spans="2:3" ht="39.75" customHeight="1">
      <c r="B1" s="56" t="s">
        <v>32</v>
      </c>
      <c r="C1" s="57"/>
    </row>
    <row r="2" spans="1:20" s="53" customFormat="1" ht="36" customHeight="1">
      <c r="A2" s="58" t="s">
        <v>33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2:20" ht="12.75">
      <c r="B3" s="59" t="s">
        <v>34</v>
      </c>
      <c r="C3" s="60"/>
      <c r="E3" s="61"/>
      <c r="L3" s="61" t="s">
        <v>35</v>
      </c>
      <c r="M3" s="61"/>
      <c r="N3" s="61"/>
      <c r="O3" s="61"/>
      <c r="P3" s="61"/>
      <c r="Q3" s="61"/>
      <c r="R3" s="61"/>
      <c r="S3" s="61"/>
      <c r="T3" s="61"/>
    </row>
    <row r="4" spans="1:20" ht="15">
      <c r="A4" s="62" t="s">
        <v>36</v>
      </c>
      <c r="B4" s="63" t="s">
        <v>37</v>
      </c>
      <c r="C4" s="64" t="s">
        <v>38</v>
      </c>
      <c r="D4" s="64" t="s">
        <v>38</v>
      </c>
      <c r="E4" s="64"/>
      <c r="F4" s="64" t="s">
        <v>39</v>
      </c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</row>
    <row r="5" spans="1:20" ht="15">
      <c r="A5" s="65"/>
      <c r="B5" s="66"/>
      <c r="C5" s="64" t="s">
        <v>40</v>
      </c>
      <c r="D5" s="64" t="s">
        <v>41</v>
      </c>
      <c r="E5" s="64" t="s">
        <v>16</v>
      </c>
      <c r="F5" s="64" t="s">
        <v>17</v>
      </c>
      <c r="G5" s="64">
        <v>2011</v>
      </c>
      <c r="H5" s="64">
        <v>2012</v>
      </c>
      <c r="I5" s="64">
        <v>2013</v>
      </c>
      <c r="J5" s="64">
        <v>2014</v>
      </c>
      <c r="K5" s="64">
        <v>2015</v>
      </c>
      <c r="L5" s="64">
        <v>2016</v>
      </c>
      <c r="M5" s="64">
        <v>2017</v>
      </c>
      <c r="N5" s="64">
        <v>2018</v>
      </c>
      <c r="O5" s="64">
        <v>2019</v>
      </c>
      <c r="P5" s="64">
        <v>2020</v>
      </c>
      <c r="Q5" s="64">
        <v>2021</v>
      </c>
      <c r="R5" s="64">
        <v>2022</v>
      </c>
      <c r="S5" s="64">
        <v>2023</v>
      </c>
      <c r="T5" s="64">
        <v>2024</v>
      </c>
    </row>
    <row r="6" spans="1:20" ht="15">
      <c r="A6" s="67">
        <v>1</v>
      </c>
      <c r="B6" s="68" t="s">
        <v>42</v>
      </c>
      <c r="C6" s="69">
        <f>C7+C8</f>
        <v>39513784</v>
      </c>
      <c r="D6" s="69">
        <f>D7+D8</f>
        <v>40781807</v>
      </c>
      <c r="E6" s="70">
        <f>E7+E8</f>
        <v>41646128.88</v>
      </c>
      <c r="F6" s="70">
        <f>F7+F8</f>
        <v>47283001</v>
      </c>
      <c r="G6" s="70">
        <f>G7+G8</f>
        <v>48961628.845</v>
      </c>
      <c r="H6" s="70">
        <f>H7+H8</f>
        <v>50940637.03276501</v>
      </c>
      <c r="I6" s="70">
        <f>I7+I8</f>
        <v>52650515.17657579</v>
      </c>
      <c r="J6" s="70">
        <f>J7+J8</f>
        <v>52320500.836432606</v>
      </c>
      <c r="K6" s="70">
        <f>K7+K8</f>
        <v>52805308.3489791</v>
      </c>
      <c r="L6" s="70">
        <f>L7+L8</f>
        <v>53597387.974213794</v>
      </c>
      <c r="M6" s="70">
        <f>M7+M8</f>
        <v>54101348.793827</v>
      </c>
      <c r="N6" s="70">
        <f>N7+N8</f>
        <v>53912869.0257344</v>
      </c>
      <c r="O6" s="70">
        <f>O7+O8</f>
        <v>54321562.06112042</v>
      </c>
      <c r="P6" s="70">
        <f>P7+P8</f>
        <v>54636385.49203723</v>
      </c>
      <c r="Q6" s="70">
        <f>Q7+Q8</f>
        <v>54455931.27441778</v>
      </c>
      <c r="R6" s="70">
        <f>R7+R8</f>
        <v>55272770.24353405</v>
      </c>
      <c r="S6" s="70">
        <f>S7+S8</f>
        <v>56101861.79718706</v>
      </c>
      <c r="T6" s="70">
        <f>T7+T8</f>
        <v>56943389.72414487</v>
      </c>
    </row>
    <row r="7" spans="1:20" ht="15">
      <c r="A7" s="71">
        <v>2</v>
      </c>
      <c r="B7" s="72" t="s">
        <v>43</v>
      </c>
      <c r="C7" s="73">
        <f>37247802+515784+17198</f>
        <v>37780784</v>
      </c>
      <c r="D7" s="73">
        <f>35488119+3020981+266707</f>
        <v>38775807</v>
      </c>
      <c r="E7" s="73">
        <f>41646128.88-E8</f>
        <v>40438982.88</v>
      </c>
      <c r="F7" s="73">
        <v>42728739</v>
      </c>
      <c r="G7" s="73">
        <f>F7*0.035+F7+951.5</f>
        <v>44225196.365</v>
      </c>
      <c r="H7" s="73">
        <f>G7*0.041+G7</f>
        <v>46038429.415965006</v>
      </c>
      <c r="I7" s="73">
        <f>H7*0.035+H7+25000</f>
        <v>47674774.44552378</v>
      </c>
      <c r="J7" s="73">
        <f>I7*0.002+I7</f>
        <v>47770123.99441483</v>
      </c>
      <c r="K7" s="73">
        <f>J7*0.015+J7</f>
        <v>48486675.854331054</v>
      </c>
      <c r="L7" s="73">
        <f>K7*0.015+K7</f>
        <v>49213975.99214602</v>
      </c>
      <c r="M7" s="73">
        <f>L7*0.015+L7</f>
        <v>49952185.632028215</v>
      </c>
      <c r="N7" s="73">
        <f>M7*0.015+M7</f>
        <v>50701468.41650864</v>
      </c>
      <c r="O7" s="73">
        <f>N7*0.015+N7</f>
        <v>51461990.442756265</v>
      </c>
      <c r="P7" s="73">
        <f>O7*0.015+O7</f>
        <v>52233920.29939761</v>
      </c>
      <c r="Q7" s="73">
        <f>P7*0.015+P7</f>
        <v>53017429.10388857</v>
      </c>
      <c r="R7" s="73">
        <f>Q7*0.015+Q7</f>
        <v>53812690.5404469</v>
      </c>
      <c r="S7" s="73">
        <f>R7*0.015+R7</f>
        <v>54619880.8985536</v>
      </c>
      <c r="T7" s="73">
        <f>S7*0.015+S7</f>
        <v>55439179.11203191</v>
      </c>
    </row>
    <row r="8" spans="1:20" ht="15">
      <c r="A8" s="71">
        <v>3</v>
      </c>
      <c r="B8" s="72" t="s">
        <v>44</v>
      </c>
      <c r="C8" s="74">
        <v>1733000</v>
      </c>
      <c r="D8" s="73">
        <f>356000+50000+1600000</f>
        <v>2006000</v>
      </c>
      <c r="E8" s="73">
        <f>674000+E9</f>
        <v>1207146</v>
      </c>
      <c r="F8" s="73">
        <v>4554262</v>
      </c>
      <c r="G8" s="73">
        <f>F8*0.04+F8</f>
        <v>4736432.48</v>
      </c>
      <c r="H8" s="73">
        <f>G8*0.035+G8</f>
        <v>4902207.616800001</v>
      </c>
      <c r="I8" s="74">
        <f>H8*0.015+H8</f>
        <v>4975740.731052001</v>
      </c>
      <c r="J8" s="74">
        <f>I8*0.015+I8-500000</f>
        <v>4550376.842017781</v>
      </c>
      <c r="K8" s="74">
        <f>J8*0.015+J8-300000</f>
        <v>4318632.494648048</v>
      </c>
      <c r="L8" s="74">
        <f>K8*0.015+K8</f>
        <v>4383411.982067768</v>
      </c>
      <c r="M8" s="74">
        <f>L8*0.015+L8-300000</f>
        <v>4149163.1617987854</v>
      </c>
      <c r="N8" s="74">
        <f>M8*0.015+M8-1000000</f>
        <v>3211400.6092257677</v>
      </c>
      <c r="O8" s="74">
        <f>N8*0.015+N8-400000</f>
        <v>2859571.6183641544</v>
      </c>
      <c r="P8" s="74">
        <f>O8*0.015+O8-500000</f>
        <v>2402465.192639617</v>
      </c>
      <c r="Q8" s="74">
        <f>P8*0.015+P8-1000000</f>
        <v>1438502.170529211</v>
      </c>
      <c r="R8" s="74">
        <f>Q8*0.015+Q8</f>
        <v>1460079.7030871492</v>
      </c>
      <c r="S8" s="74">
        <f>R8*0.015+R8</f>
        <v>1481980.8986334563</v>
      </c>
      <c r="T8" s="74">
        <f>S8*0.015+S8</f>
        <v>1504210.6121129582</v>
      </c>
    </row>
    <row r="9" spans="1:20" ht="15">
      <c r="A9" s="71">
        <v>4</v>
      </c>
      <c r="B9" s="72" t="s">
        <v>45</v>
      </c>
      <c r="C9" s="74"/>
      <c r="D9" s="73"/>
      <c r="E9" s="73">
        <v>533146</v>
      </c>
      <c r="F9" s="73">
        <f>1740500+50000</f>
        <v>1790500</v>
      </c>
      <c r="G9" s="73"/>
      <c r="H9" s="73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</row>
    <row r="10" spans="1:20" ht="15">
      <c r="A10" s="71">
        <v>5</v>
      </c>
      <c r="B10" s="68" t="s">
        <v>46</v>
      </c>
      <c r="C10" s="69">
        <f>C11+C12</f>
        <v>36475335</v>
      </c>
      <c r="D10" s="69">
        <f>D11+D12</f>
        <v>40722987</v>
      </c>
      <c r="E10" s="69">
        <f>E11+E12</f>
        <v>49843941.53</v>
      </c>
      <c r="F10" s="70">
        <f>F11+F12</f>
        <v>60106434.19</v>
      </c>
      <c r="G10" s="70">
        <f>G11+G12</f>
        <v>52371238.74285</v>
      </c>
      <c r="H10" s="70">
        <f>H11+H12</f>
        <v>46965687.32399275</v>
      </c>
      <c r="I10" s="70">
        <f>I11+I12</f>
        <v>48696329.50709257</v>
      </c>
      <c r="J10" s="70">
        <f>J11+J12</f>
        <v>48294256.09723443</v>
      </c>
      <c r="K10" s="70">
        <f>K11+K12</f>
        <v>49432112.49966529</v>
      </c>
      <c r="L10" s="70">
        <f>L11+L12</f>
        <v>49936265.31215692</v>
      </c>
      <c r="M10" s="70">
        <f>M11+M12</f>
        <v>52382356.94496085</v>
      </c>
      <c r="N10" s="70">
        <f>N11+N12</f>
        <v>51862369.36858487</v>
      </c>
      <c r="O10" s="70">
        <f>O11+O12</f>
        <v>51825627.4527995</v>
      </c>
      <c r="P10" s="70">
        <f>P11+P12</f>
        <v>52796261.87411948</v>
      </c>
      <c r="Q10" s="70">
        <f>Q11+Q12</f>
        <v>53758661.52947247</v>
      </c>
      <c r="R10" s="70">
        <f>R11+R12</f>
        <v>54514370.48705928</v>
      </c>
      <c r="S10" s="70">
        <f>S11+S12</f>
        <v>54078479.76538076</v>
      </c>
      <c r="T10" s="70">
        <f>T11+T12</f>
        <v>53626108.45631928</v>
      </c>
    </row>
    <row r="11" spans="1:20" ht="15">
      <c r="A11" s="71">
        <v>6</v>
      </c>
      <c r="B11" s="72" t="s">
        <v>47</v>
      </c>
      <c r="C11" s="74">
        <v>32783361</v>
      </c>
      <c r="D11" s="73">
        <v>35629630</v>
      </c>
      <c r="E11" s="73">
        <f>49843941.53-E12</f>
        <v>37955635.53</v>
      </c>
      <c r="F11" s="73">
        <v>43244570.19</v>
      </c>
      <c r="G11" s="73">
        <f>F11*0.015+F11+270000</f>
        <v>44163238.74285</v>
      </c>
      <c r="H11" s="74">
        <f>G11*0.015+G11</f>
        <v>44825687.32399275</v>
      </c>
      <c r="I11" s="74">
        <f>H11*0.025+H11-50000</f>
        <v>45896329.50709257</v>
      </c>
      <c r="J11" s="74">
        <f>I11*0.02+I11-500000</f>
        <v>46314256.09723443</v>
      </c>
      <c r="K11" s="74">
        <f>J11*0.025+J11-618000</f>
        <v>46854112.49966529</v>
      </c>
      <c r="L11" s="74">
        <f>K11*0.025+K11-725000</f>
        <v>47300465.31215692</v>
      </c>
      <c r="M11" s="74">
        <f>L11*0.025+L11</f>
        <v>48482976.94496085</v>
      </c>
      <c r="N11" s="74">
        <f>M11*0.025+M11-900000-22000</f>
        <v>48773051.36858487</v>
      </c>
      <c r="O11" s="74">
        <f>N11*0.025+N11-500000</f>
        <v>49492377.652799495</v>
      </c>
      <c r="P11" s="74">
        <f>O11*0.025+O11-500000</f>
        <v>50229687.09411948</v>
      </c>
      <c r="Q11" s="74">
        <f>P11*0.025+P11-550000</f>
        <v>50935429.27147247</v>
      </c>
      <c r="R11" s="74">
        <f>Q11*0.025+Q11-800000</f>
        <v>51408815.00325928</v>
      </c>
      <c r="S11" s="74">
        <f>R11*0.025+R11-1100000</f>
        <v>51594035.37834076</v>
      </c>
      <c r="T11" s="74">
        <f>S11*0.025+S11-500000</f>
        <v>52383886.26279928</v>
      </c>
    </row>
    <row r="12" spans="1:20" ht="15">
      <c r="A12" s="71">
        <v>7</v>
      </c>
      <c r="B12" s="72" t="s">
        <v>48</v>
      </c>
      <c r="C12" s="74">
        <v>3691974</v>
      </c>
      <c r="D12" s="73">
        <v>5093357</v>
      </c>
      <c r="E12" s="73">
        <v>11888306</v>
      </c>
      <c r="F12" s="73">
        <v>16861864</v>
      </c>
      <c r="G12" s="73">
        <f>1950000+83000+2000000+1000000+800000+75000+2100000+200000</f>
        <v>8208000</v>
      </c>
      <c r="H12" s="73">
        <f>2140000</f>
        <v>2140000</v>
      </c>
      <c r="I12" s="73">
        <v>2800000</v>
      </c>
      <c r="J12" s="74">
        <v>1980000</v>
      </c>
      <c r="K12" s="74">
        <f>J12*1.1+400000</f>
        <v>2578000</v>
      </c>
      <c r="L12" s="74">
        <f>K12*1.1-200000</f>
        <v>2635800</v>
      </c>
      <c r="M12" s="74">
        <f>L12*1.1+1000000</f>
        <v>3899380.0000000005</v>
      </c>
      <c r="N12" s="74">
        <f>M12*1.1-1200000</f>
        <v>3089318.000000001</v>
      </c>
      <c r="O12" s="74">
        <f>N12*1.1-1000000-65000</f>
        <v>2333249.800000001</v>
      </c>
      <c r="P12" s="74">
        <f>O12*1.1</f>
        <v>2566574.7800000017</v>
      </c>
      <c r="Q12" s="74">
        <f>P12*1.1</f>
        <v>2823232.2580000022</v>
      </c>
      <c r="R12" s="74">
        <f>Q12*1.1</f>
        <v>3105555.483800003</v>
      </c>
      <c r="S12" s="74">
        <f>R12*0.8</f>
        <v>2484444.3870400023</v>
      </c>
      <c r="T12" s="74">
        <f>S12*0.5</f>
        <v>1242222.1935200011</v>
      </c>
    </row>
    <row r="13" spans="1:20" ht="15">
      <c r="A13" s="71">
        <v>8</v>
      </c>
      <c r="B13" s="75" t="s">
        <v>49</v>
      </c>
      <c r="C13" s="76">
        <f>C6-C10</f>
        <v>3038449</v>
      </c>
      <c r="D13" s="76">
        <f>D6-D10</f>
        <v>58820</v>
      </c>
      <c r="E13" s="77">
        <f>E6-E10</f>
        <v>-8197812.6499999985</v>
      </c>
      <c r="F13" s="77">
        <f>F6-F10</f>
        <v>-12823433.189999998</v>
      </c>
      <c r="G13" s="77">
        <f>G6-G10</f>
        <v>-3409609.8978499994</v>
      </c>
      <c r="H13" s="77">
        <f>H6-H10</f>
        <v>3974949.708772257</v>
      </c>
      <c r="I13" s="77">
        <f>I6-I10</f>
        <v>3954185.6694832146</v>
      </c>
      <c r="J13" s="77">
        <f>J6-J10</f>
        <v>4026244.739198178</v>
      </c>
      <c r="K13" s="77">
        <f>K6-K10</f>
        <v>3373195.8493138105</v>
      </c>
      <c r="L13" s="77">
        <f>L6-L10</f>
        <v>3661122.6620568708</v>
      </c>
      <c r="M13" s="77">
        <f>M6-M10</f>
        <v>1718991.8488661498</v>
      </c>
      <c r="N13" s="77">
        <f>N6-N10</f>
        <v>2050499.657149531</v>
      </c>
      <c r="O13" s="77">
        <f>O6-O10</f>
        <v>2495934.6083209217</v>
      </c>
      <c r="P13" s="77">
        <f>P6-P10</f>
        <v>1840123.6179177463</v>
      </c>
      <c r="Q13" s="77">
        <f>Q6-Q10</f>
        <v>697269.74494531</v>
      </c>
      <c r="R13" s="77">
        <f>R6-R10</f>
        <v>758399.7564747706</v>
      </c>
      <c r="S13" s="77">
        <f>S6-S10</f>
        <v>2023382.0318062976</v>
      </c>
      <c r="T13" s="77">
        <f>T6-T10</f>
        <v>3317281.2678255886</v>
      </c>
    </row>
    <row r="14" spans="1:20" ht="15">
      <c r="A14" s="71">
        <v>9</v>
      </c>
      <c r="B14" s="75" t="s">
        <v>50</v>
      </c>
      <c r="C14" s="77">
        <f>C15-C28</f>
        <v>-2507196</v>
      </c>
      <c r="D14" s="77">
        <f>D15-D28</f>
        <v>-231403.56000000006</v>
      </c>
      <c r="E14" s="77">
        <f>E15-E28</f>
        <v>9252361</v>
      </c>
      <c r="F14" s="77">
        <f>F15-F28</f>
        <v>12823433.189999998</v>
      </c>
      <c r="G14" s="77">
        <f>G15-G28</f>
        <v>3409609.89785</v>
      </c>
      <c r="H14" s="77">
        <f>H15-H28</f>
        <v>-3954845.762769999</v>
      </c>
      <c r="I14" s="77">
        <f>I15-I28</f>
        <v>-3934731.816767741</v>
      </c>
      <c r="J14" s="77">
        <f>J15-J28</f>
        <v>-3914381.9100545254</v>
      </c>
      <c r="K14" s="77">
        <f>K15-K28</f>
        <v>-3242972.9336263463</v>
      </c>
      <c r="L14" s="77">
        <f>L15-L28</f>
        <v>-2935449.9110825355</v>
      </c>
      <c r="M14" s="77">
        <f>M15-M28</f>
        <v>-1385437.2490256648</v>
      </c>
      <c r="N14" s="77">
        <f>N15-N28</f>
        <v>-1777555.400159515</v>
      </c>
      <c r="O14" s="77">
        <f>O15-O28</f>
        <v>-1838165.743009984</v>
      </c>
      <c r="P14" s="77">
        <f>P15-P28</f>
        <v>-453341.13468906237</v>
      </c>
      <c r="Q14" s="77">
        <f>Q15-Q28</f>
        <v>386782.48322868394</v>
      </c>
      <c r="R14" s="77">
        <f>R15-R28</f>
        <v>84052.228173994</v>
      </c>
      <c r="S14" s="77">
        <f>S15-S28</f>
        <v>842451.9846487646</v>
      </c>
      <c r="T14" s="77">
        <f>T15-T28</f>
        <v>2865834.016455062</v>
      </c>
    </row>
    <row r="15" spans="1:20" ht="21.75" customHeight="1">
      <c r="A15" s="71">
        <v>10</v>
      </c>
      <c r="B15" s="68" t="s">
        <v>51</v>
      </c>
      <c r="C15" s="78">
        <f>C16+C18+C20+C21+C23+C25+C26</f>
        <v>399491</v>
      </c>
      <c r="D15" s="78">
        <f>D16+D18+D20+D21+D23+D25+D26</f>
        <v>1295283</v>
      </c>
      <c r="E15" s="79">
        <f>E16+E18+E20+E21+E23+E25+E26</f>
        <v>11002928</v>
      </c>
      <c r="F15" s="79">
        <f>F16+F18+F20+F21+F23+F25+F26-1</f>
        <v>14331547.029999997</v>
      </c>
      <c r="G15" s="79">
        <f>G16+G18+G20+G21+G23+G25+G26</f>
        <v>4776582.133849999</v>
      </c>
      <c r="H15" s="79">
        <f>H16+H18+H20+H21+H23+H25+H26</f>
        <v>0</v>
      </c>
      <c r="I15" s="79">
        <f>I16+I18+I20+I21+I23+I25+I26</f>
        <v>20103.946002257988</v>
      </c>
      <c r="J15" s="79">
        <f>J16+J18+J20+J21+J23+J25+J26</f>
        <v>19453.852715473622</v>
      </c>
      <c r="K15" s="79">
        <f>K16+K18+K20+K21+K23+K25+K26</f>
        <v>111862.82914365269</v>
      </c>
      <c r="L15" s="79">
        <f>L16+L18+L20+L21+L23+L25+L26</f>
        <v>130222.91568746418</v>
      </c>
      <c r="M15" s="79">
        <f>M16+M18+M20+M21+M23+M25+M26</f>
        <v>725672.7509743352</v>
      </c>
      <c r="N15" s="79">
        <f>N16+N18+N20+N21+N23+N25+N26</f>
        <v>333554.599840485</v>
      </c>
      <c r="O15" s="79">
        <f>O16+O18+O20+O21+O23+O25+O26</f>
        <v>272944.256990016</v>
      </c>
      <c r="P15" s="79">
        <f>P16+P18+P20+P21+P23+P25+P26</f>
        <v>657768.8653109376</v>
      </c>
      <c r="Q15" s="79">
        <f>Q16+Q18+Q20+Q21+Q23+Q25+Q26</f>
        <v>1386782.483228684</v>
      </c>
      <c r="R15" s="79">
        <f>R16+R18+R20+R21+R23+R25+R26</f>
        <v>1084052.228173994</v>
      </c>
      <c r="S15" s="79">
        <f>S16+S18+S20+S21+S23+S25+S26</f>
        <v>842451.9846487646</v>
      </c>
      <c r="T15" s="79">
        <f>T16+T18+T20+T21+T23+T25+T26</f>
        <v>2865834.016455062</v>
      </c>
    </row>
    <row r="16" spans="1:20" ht="28.5" customHeight="1">
      <c r="A16" s="71">
        <v>11</v>
      </c>
      <c r="B16" s="75" t="s">
        <v>52</v>
      </c>
      <c r="C16" s="74"/>
      <c r="D16" s="73">
        <v>749494</v>
      </c>
      <c r="E16" s="73">
        <f>2979000+20160</f>
        <v>2999160</v>
      </c>
      <c r="F16" s="73">
        <f>-F13+F29-F20-F21-F23+1-F18</f>
        <v>1445814.679999996</v>
      </c>
      <c r="G16" s="73">
        <f>-G13+G29-G20-G21-G23</f>
        <v>4772814.133849999</v>
      </c>
      <c r="H16" s="73"/>
      <c r="I16" s="74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</row>
    <row r="17" spans="1:20" ht="43.5">
      <c r="A17" s="71">
        <v>12</v>
      </c>
      <c r="B17" s="72" t="s">
        <v>53</v>
      </c>
      <c r="C17" s="74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</row>
    <row r="18" spans="1:20" ht="29.25" customHeight="1">
      <c r="A18" s="71">
        <v>13</v>
      </c>
      <c r="B18" s="75" t="s">
        <v>54</v>
      </c>
      <c r="C18" s="74"/>
      <c r="D18" s="73"/>
      <c r="E18" s="73"/>
      <c r="F18" s="73">
        <v>1000000</v>
      </c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</row>
    <row r="19" spans="1:20" ht="43.5">
      <c r="A19" s="71">
        <v>14</v>
      </c>
      <c r="B19" s="72" t="s">
        <v>55</v>
      </c>
      <c r="C19" s="74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</row>
    <row r="20" spans="1:20" ht="15">
      <c r="A20" s="71">
        <v>15</v>
      </c>
      <c r="B20" s="75" t="s">
        <v>56</v>
      </c>
      <c r="C20" s="74"/>
      <c r="D20" s="74">
        <v>14536</v>
      </c>
      <c r="E20" s="74">
        <v>3768</v>
      </c>
      <c r="F20" s="74">
        <v>3768</v>
      </c>
      <c r="G20" s="74">
        <v>3768</v>
      </c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</row>
    <row r="21" spans="1:20" ht="30" customHeight="1">
      <c r="A21" s="71">
        <v>16</v>
      </c>
      <c r="B21" s="75" t="s">
        <v>57</v>
      </c>
      <c r="C21" s="74">
        <v>399491</v>
      </c>
      <c r="D21" s="73">
        <v>531253</v>
      </c>
      <c r="E21" s="73"/>
      <c r="F21" s="73">
        <f>E14+E13-172583</f>
        <v>881965.3500000015</v>
      </c>
      <c r="G21" s="73">
        <f>F14+F13</f>
        <v>0</v>
      </c>
      <c r="H21" s="73">
        <f>G14+G13</f>
        <v>0</v>
      </c>
      <c r="I21" s="74">
        <f>H14+H13</f>
        <v>20103.946002257988</v>
      </c>
      <c r="J21" s="74">
        <f>I14+I13</f>
        <v>19453.852715473622</v>
      </c>
      <c r="K21" s="74">
        <f>J14+J13</f>
        <v>111862.82914365269</v>
      </c>
      <c r="L21" s="74">
        <f>K14+K13</f>
        <v>130222.91568746418</v>
      </c>
      <c r="M21" s="74">
        <f>L14+L13</f>
        <v>725672.7509743352</v>
      </c>
      <c r="N21" s="74">
        <f>M14+M13</f>
        <v>333554.599840485</v>
      </c>
      <c r="O21" s="74">
        <f>N14+N13</f>
        <v>272944.256990016</v>
      </c>
      <c r="P21" s="74">
        <f>O14+O13</f>
        <v>657768.8653109376</v>
      </c>
      <c r="Q21" s="74">
        <f>P14+P13</f>
        <v>1386782.483228684</v>
      </c>
      <c r="R21" s="74">
        <f>Q14+Q13</f>
        <v>1084052.228173994</v>
      </c>
      <c r="S21" s="74">
        <f>R14+R13</f>
        <v>842451.9846487646</v>
      </c>
      <c r="T21" s="74">
        <f>S14+S13</f>
        <v>2865834.016455062</v>
      </c>
    </row>
    <row r="22" spans="1:20" ht="15">
      <c r="A22" s="71">
        <v>17</v>
      </c>
      <c r="B22" s="72" t="s">
        <v>58</v>
      </c>
      <c r="C22" s="74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</row>
    <row r="23" spans="1:20" ht="43.5">
      <c r="A23" s="71">
        <v>18</v>
      </c>
      <c r="B23" s="75" t="s">
        <v>59</v>
      </c>
      <c r="C23" s="74"/>
      <c r="D23" s="73"/>
      <c r="E23" s="73">
        <v>8000000</v>
      </c>
      <c r="F23" s="73">
        <v>11000000</v>
      </c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</row>
    <row r="24" spans="1:20" ht="43.5">
      <c r="A24" s="71">
        <v>19</v>
      </c>
      <c r="B24" s="72" t="s">
        <v>60</v>
      </c>
      <c r="C24" s="74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</row>
    <row r="25" spans="1:20" ht="15">
      <c r="A25" s="71">
        <v>20</v>
      </c>
      <c r="B25" s="75" t="s">
        <v>61</v>
      </c>
      <c r="C25" s="74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</row>
    <row r="26" spans="1:20" ht="26.25" customHeight="1">
      <c r="A26" s="71">
        <v>21</v>
      </c>
      <c r="B26" s="75" t="s">
        <v>62</v>
      </c>
      <c r="C26" s="74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</row>
    <row r="27" spans="1:20" ht="15">
      <c r="A27" s="71">
        <v>22</v>
      </c>
      <c r="B27" s="72" t="s">
        <v>63</v>
      </c>
      <c r="C27" s="74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</row>
    <row r="28" spans="1:20" ht="23.25" customHeight="1">
      <c r="A28" s="67">
        <v>23</v>
      </c>
      <c r="B28" s="68" t="s">
        <v>64</v>
      </c>
      <c r="C28" s="78">
        <f>C29+C31+C33+C34+C35+C37</f>
        <v>2906687</v>
      </c>
      <c r="D28" s="78">
        <f>D29+D31+D33+D34+D35+D37</f>
        <v>1526686.56</v>
      </c>
      <c r="E28" s="78">
        <f>E29+E31+E33+E34+E35+E37</f>
        <v>1750567</v>
      </c>
      <c r="F28" s="78">
        <f>F29+F31+F33+F34+F35+F37</f>
        <v>1508113.8399999999</v>
      </c>
      <c r="G28" s="78">
        <f>G29+G31+G33+G34+G35+G37</f>
        <v>1366972.235999999</v>
      </c>
      <c r="H28" s="78">
        <f>H29+H31+H33+H34+H35+H37</f>
        <v>3954845.762769999</v>
      </c>
      <c r="I28" s="78">
        <f>I29+I31+I33+I34+I35+I37</f>
        <v>3954835.762769999</v>
      </c>
      <c r="J28" s="78">
        <f>J29+J31+J33+J34+J35+J37</f>
        <v>3933835.762769999</v>
      </c>
      <c r="K28" s="78">
        <f>K29+K31+K33+K34+K35+K37</f>
        <v>3354835.762769999</v>
      </c>
      <c r="L28" s="78">
        <f>L29+L31+L33+L34+L35+L37</f>
        <v>3065672.8267699997</v>
      </c>
      <c r="M28" s="78">
        <f>M29+M31+M33+M34+M35+M37</f>
        <v>2111110</v>
      </c>
      <c r="N28" s="78">
        <f>N29+N31+N33+N34+N35+N37</f>
        <v>2111110</v>
      </c>
      <c r="O28" s="78">
        <f>O29+O31+O33+O34+O35+O37</f>
        <v>2111110</v>
      </c>
      <c r="P28" s="78">
        <f>P29+P31+P33+P34+P35+P37</f>
        <v>1111110</v>
      </c>
      <c r="Q28" s="78">
        <f>Q29+Q31+Q33+Q34+Q35+Q37</f>
        <v>1000000</v>
      </c>
      <c r="R28" s="78">
        <f>R29+R31+R33+R34+R35+R37</f>
        <v>1000000</v>
      </c>
      <c r="S28" s="78">
        <f>S29+S31+S33+S34+S35+S37</f>
        <v>0</v>
      </c>
      <c r="T28" s="78">
        <f>T29+T31+T33+T34+T35+T37</f>
        <v>0</v>
      </c>
    </row>
    <row r="29" spans="1:20" ht="28.5" customHeight="1">
      <c r="A29" s="71">
        <v>24</v>
      </c>
      <c r="B29" s="75" t="s">
        <v>65</v>
      </c>
      <c r="C29" s="74">
        <v>1776687</v>
      </c>
      <c r="D29" s="74">
        <f>(12*55223.88)+(4*120000)+(4*96000)</f>
        <v>1526686.56</v>
      </c>
      <c r="E29" s="74">
        <f>kredyty_2!C3</f>
        <v>1750567</v>
      </c>
      <c r="F29" s="74">
        <f>kredyty_2!D3</f>
        <v>1508113.8399999999</v>
      </c>
      <c r="G29" s="74">
        <f>kredyty_2!E3</f>
        <v>1366972.235999999</v>
      </c>
      <c r="H29" s="74">
        <f>kredyty_2!F3-H31</f>
        <v>1843725.762769999</v>
      </c>
      <c r="I29" s="74">
        <f>kredyty_2!G3-I31</f>
        <v>1843725.762769999</v>
      </c>
      <c r="J29" s="74">
        <f>kredyty_2!H3-J31</f>
        <v>1822725.762769999</v>
      </c>
      <c r="K29" s="74">
        <f>kredyty_2!I3-K31</f>
        <v>1243725.762769999</v>
      </c>
      <c r="L29" s="74">
        <f>kredyty_2!J3-L31</f>
        <v>954562.8267699997</v>
      </c>
      <c r="M29" s="74">
        <f>kredyty_2!K3-M31</f>
        <v>0</v>
      </c>
      <c r="N29" s="74">
        <f>kredyty_2!L3-N31</f>
        <v>0</v>
      </c>
      <c r="O29" s="74">
        <f>kredyty_2!M3-O31</f>
        <v>0</v>
      </c>
      <c r="P29" s="74">
        <f>kredyty_2!N3-P31</f>
        <v>0</v>
      </c>
      <c r="Q29" s="74">
        <f>kredyty_2!O3</f>
        <v>0</v>
      </c>
      <c r="R29" s="74">
        <f>kredyty_2!P3</f>
        <v>0</v>
      </c>
      <c r="S29" s="74">
        <f>kredyty_2!Q3</f>
        <v>0</v>
      </c>
      <c r="T29" s="74">
        <f>kredyty_2!R3</f>
        <v>0</v>
      </c>
    </row>
    <row r="30" spans="1:20" ht="43.5">
      <c r="A30" s="71">
        <v>25</v>
      </c>
      <c r="B30" s="72" t="s">
        <v>66</v>
      </c>
      <c r="C30" s="74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</row>
    <row r="31" spans="1:20" ht="30.75" customHeight="1">
      <c r="A31" s="71">
        <v>26</v>
      </c>
      <c r="B31" s="75" t="s">
        <v>67</v>
      </c>
      <c r="C31" s="74">
        <v>123000</v>
      </c>
      <c r="D31" s="73"/>
      <c r="E31"/>
      <c r="F31" s="73"/>
      <c r="G31" s="73"/>
      <c r="H31" s="73">
        <f>kredyty_2!F11</f>
        <v>111120</v>
      </c>
      <c r="I31" s="73">
        <f>kredyty_2!G11</f>
        <v>111110</v>
      </c>
      <c r="J31" s="74">
        <f>kredyty_2!H11</f>
        <v>111110</v>
      </c>
      <c r="K31" s="74">
        <f>kredyty_2!I11</f>
        <v>111110</v>
      </c>
      <c r="L31" s="74">
        <f>kredyty_2!J11</f>
        <v>111110</v>
      </c>
      <c r="M31" s="74">
        <f>kredyty_2!K11</f>
        <v>111110</v>
      </c>
      <c r="N31" s="74">
        <f>kredyty_2!L11</f>
        <v>111110</v>
      </c>
      <c r="O31" s="74">
        <f>kredyty_2!M11</f>
        <v>111110</v>
      </c>
      <c r="P31" s="74">
        <f>kredyty_2!N11</f>
        <v>111110</v>
      </c>
      <c r="Q31" s="73"/>
      <c r="R31" s="73"/>
      <c r="S31" s="73"/>
      <c r="T31" s="73"/>
    </row>
    <row r="32" spans="1:20" ht="43.5">
      <c r="A32" s="71">
        <v>27</v>
      </c>
      <c r="B32" s="72" t="s">
        <v>68</v>
      </c>
      <c r="C32" s="74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</row>
    <row r="33" spans="1:20" ht="15">
      <c r="A33" s="71">
        <v>28</v>
      </c>
      <c r="B33" s="75" t="s">
        <v>69</v>
      </c>
      <c r="C33" s="74">
        <v>7000</v>
      </c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</row>
    <row r="34" spans="1:20" ht="15">
      <c r="A34" s="71">
        <v>29</v>
      </c>
      <c r="B34" s="75" t="s">
        <v>70</v>
      </c>
      <c r="C34" s="74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</row>
    <row r="35" spans="1:20" ht="29.25">
      <c r="A35" s="71">
        <v>30</v>
      </c>
      <c r="B35" s="75" t="s">
        <v>71</v>
      </c>
      <c r="C35" s="74">
        <v>1000000</v>
      </c>
      <c r="D35" s="73"/>
      <c r="E35" s="73"/>
      <c r="F35" s="73"/>
      <c r="G35" s="73"/>
      <c r="H35" s="80">
        <f>kredyty_2!F31</f>
        <v>2000000</v>
      </c>
      <c r="I35" s="80">
        <f>kredyty_2!G31</f>
        <v>2000000</v>
      </c>
      <c r="J35" s="80">
        <f>kredyty_2!H31</f>
        <v>2000000</v>
      </c>
      <c r="K35" s="80">
        <f>kredyty_2!I31</f>
        <v>2000000</v>
      </c>
      <c r="L35" s="80">
        <f>kredyty_2!J31</f>
        <v>2000000</v>
      </c>
      <c r="M35" s="80">
        <f>kredyty_2!K31</f>
        <v>2000000</v>
      </c>
      <c r="N35" s="80">
        <f>kredyty_2!L31</f>
        <v>2000000</v>
      </c>
      <c r="O35" s="80">
        <f>kredyty_2!M31</f>
        <v>2000000</v>
      </c>
      <c r="P35" s="80">
        <f>kredyty_2!N31</f>
        <v>1000000</v>
      </c>
      <c r="Q35" s="80">
        <f>kredyty_2!O31</f>
        <v>1000000</v>
      </c>
      <c r="R35" s="80">
        <f>kredyty_2!P31</f>
        <v>1000000</v>
      </c>
      <c r="S35" s="80">
        <f>kredyty_2!Q31</f>
        <v>0</v>
      </c>
      <c r="T35" s="80"/>
    </row>
    <row r="36" spans="1:20" ht="43.5">
      <c r="A36" s="71">
        <v>31</v>
      </c>
      <c r="B36" s="72" t="s">
        <v>72</v>
      </c>
      <c r="C36" s="74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</row>
    <row r="37" spans="1:20" ht="15">
      <c r="A37" s="71">
        <v>32</v>
      </c>
      <c r="B37" s="75" t="s">
        <v>73</v>
      </c>
      <c r="C37" s="74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</row>
    <row r="38" spans="1:20" ht="15">
      <c r="A38" s="71">
        <v>33</v>
      </c>
      <c r="B38" s="75" t="s">
        <v>74</v>
      </c>
      <c r="C38" s="73">
        <v>100000</v>
      </c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</row>
    <row r="39" spans="1:20" ht="26.25">
      <c r="A39" s="71">
        <v>34</v>
      </c>
      <c r="B39" s="68" t="s">
        <v>75</v>
      </c>
      <c r="C39" s="69">
        <f>C40+C41+C42+C43+C44+C47</f>
        <v>3893900</v>
      </c>
      <c r="D39" s="69">
        <f>D40+D41+D42+D43+D44+D47</f>
        <v>3117646.44</v>
      </c>
      <c r="E39" s="70">
        <f>E40+E41+E42+E43+E44+E47</f>
        <v>12366738.44</v>
      </c>
      <c r="F39" s="70">
        <f>F40+F41+F42+F43+F44+F47</f>
        <v>24302624.279999994</v>
      </c>
      <c r="G39" s="70">
        <f>G40+G41+G42+G43+G44+G47</f>
        <v>27708466.177849993</v>
      </c>
      <c r="H39" s="70">
        <f>H40+H41+H42+H43+H44+H47</f>
        <v>23753620.415079996</v>
      </c>
      <c r="I39" s="70">
        <f>I40+I41+I42+I43+I44+I47</f>
        <v>19798784.65231</v>
      </c>
      <c r="J39" s="70">
        <f>J40+J41+J42+J43+J44+J47</f>
        <v>15864948.889539998</v>
      </c>
      <c r="K39" s="70">
        <f>K40+K41+K42+K43+K44+K47</f>
        <v>12510113.126769999</v>
      </c>
      <c r="L39" s="70">
        <f>L40+L41+L42+L43+L44+L47</f>
        <v>9444440</v>
      </c>
      <c r="M39" s="70">
        <f>M40+M41+M42+M43+M44+M47</f>
        <v>7333330</v>
      </c>
      <c r="N39" s="70">
        <f>N40+N41+N42+N43+N44+N47</f>
        <v>5222220</v>
      </c>
      <c r="O39" s="70">
        <f>O40+O41+O42+O43+O44+O47</f>
        <v>3111110</v>
      </c>
      <c r="P39" s="70">
        <f>P40+P41+P42+P43+P44+P47</f>
        <v>2000000</v>
      </c>
      <c r="Q39" s="70">
        <f>Q40+Q41+Q42+Q43+Q44+Q47</f>
        <v>1000000</v>
      </c>
      <c r="R39" s="70">
        <f>R40+R41+R42+R43+R44+R47</f>
        <v>0</v>
      </c>
      <c r="S39" s="70">
        <f>S40+S41+S42+S43+S44+S47</f>
        <v>0</v>
      </c>
      <c r="T39" s="70">
        <f>T40+T41+T42+T43+T44+T47</f>
        <v>0</v>
      </c>
    </row>
    <row r="40" spans="1:20" ht="15">
      <c r="A40" s="71">
        <v>35</v>
      </c>
      <c r="B40" s="75" t="s">
        <v>76</v>
      </c>
      <c r="C40" s="73"/>
      <c r="D40" s="73"/>
      <c r="E40" s="73">
        <f>E23</f>
        <v>8000000</v>
      </c>
      <c r="F40" s="73">
        <f>$E$23+$F$23-F35</f>
        <v>19000000</v>
      </c>
      <c r="G40" s="73">
        <f>$E$23+$F$23-G35</f>
        <v>19000000</v>
      </c>
      <c r="H40" s="74">
        <f>G40-H35</f>
        <v>17000000</v>
      </c>
      <c r="I40" s="74">
        <f>H40-I35</f>
        <v>15000000</v>
      </c>
      <c r="J40" s="74">
        <f>I40-J35</f>
        <v>13000000</v>
      </c>
      <c r="K40" s="74">
        <f>J40-K35</f>
        <v>11000000</v>
      </c>
      <c r="L40" s="74">
        <f>K40-L35</f>
        <v>9000000</v>
      </c>
      <c r="M40" s="74">
        <f>L40-M35</f>
        <v>7000000</v>
      </c>
      <c r="N40" s="74">
        <f>M40-N35</f>
        <v>5000000</v>
      </c>
      <c r="O40" s="74">
        <f>N40-O35</f>
        <v>3000000</v>
      </c>
      <c r="P40" s="74">
        <f>O40-P35</f>
        <v>2000000</v>
      </c>
      <c r="Q40" s="74">
        <f>P40-Q35</f>
        <v>1000000</v>
      </c>
      <c r="R40" s="74">
        <f>Q40-R35</f>
        <v>0</v>
      </c>
      <c r="S40" s="74">
        <f>R40-S35</f>
        <v>0</v>
      </c>
      <c r="T40" s="73"/>
    </row>
    <row r="41" spans="1:20" ht="15">
      <c r="A41" s="71">
        <v>36</v>
      </c>
      <c r="B41" s="75" t="s">
        <v>77</v>
      </c>
      <c r="C41" s="73">
        <v>3893523</v>
      </c>
      <c r="D41" s="73">
        <f>C41+D16-D29</f>
        <v>3116330.44</v>
      </c>
      <c r="E41" s="73">
        <f>D41+E16-E29</f>
        <v>4364923.4399999995</v>
      </c>
      <c r="F41" s="73">
        <f>E41+F16-F29</f>
        <v>4302624.279999996</v>
      </c>
      <c r="G41" s="73">
        <f>F41+G16-G29</f>
        <v>7708466.177849995</v>
      </c>
      <c r="H41" s="73">
        <f>G41+H16-H29</f>
        <v>5864740.415079996</v>
      </c>
      <c r="I41" s="73">
        <f>H41+I16-I29</f>
        <v>4021014.652309997</v>
      </c>
      <c r="J41" s="73">
        <f>I41+J16-J29</f>
        <v>2198288.889539998</v>
      </c>
      <c r="K41" s="73">
        <f>J41+K16-K29</f>
        <v>954563.126769999</v>
      </c>
      <c r="L41" s="74"/>
      <c r="M41" s="74"/>
      <c r="N41" s="74"/>
      <c r="O41" s="74"/>
      <c r="P41" s="73"/>
      <c r="Q41" s="73"/>
      <c r="R41" s="73"/>
      <c r="S41" s="73"/>
      <c r="T41" s="73"/>
    </row>
    <row r="42" spans="1:20" ht="15">
      <c r="A42" s="71">
        <v>37</v>
      </c>
      <c r="B42" s="81" t="s">
        <v>78</v>
      </c>
      <c r="C42" s="82"/>
      <c r="D42" s="73"/>
      <c r="E42" s="73"/>
      <c r="F42" s="73">
        <f>F18</f>
        <v>1000000</v>
      </c>
      <c r="G42" s="73">
        <f>F42-G31</f>
        <v>1000000</v>
      </c>
      <c r="H42" s="73">
        <f>G42-H31</f>
        <v>888880</v>
      </c>
      <c r="I42" s="74">
        <f>H42-I31</f>
        <v>777770</v>
      </c>
      <c r="J42" s="74">
        <f>I42-J31</f>
        <v>666660</v>
      </c>
      <c r="K42" s="74">
        <f>J42-K31</f>
        <v>555550</v>
      </c>
      <c r="L42" s="74">
        <f>K42-L31</f>
        <v>444440</v>
      </c>
      <c r="M42" s="74">
        <f>L42-M31</f>
        <v>333330</v>
      </c>
      <c r="N42" s="74">
        <f>M42-N31</f>
        <v>222220</v>
      </c>
      <c r="O42" s="74">
        <f>N42-O31</f>
        <v>111110</v>
      </c>
      <c r="P42" s="73"/>
      <c r="Q42" s="73"/>
      <c r="R42" s="73"/>
      <c r="S42" s="73"/>
      <c r="T42" s="73"/>
    </row>
    <row r="43" spans="1:20" ht="15">
      <c r="A43" s="71">
        <v>38</v>
      </c>
      <c r="B43" s="81" t="s">
        <v>79</v>
      </c>
      <c r="C43" s="82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</row>
    <row r="44" spans="1:20" ht="29.25">
      <c r="A44" s="71">
        <v>39</v>
      </c>
      <c r="B44" s="81" t="s">
        <v>80</v>
      </c>
      <c r="C44" s="82">
        <f>C45+C46</f>
        <v>377</v>
      </c>
      <c r="D44" s="82">
        <f>D45+D46</f>
        <v>1316</v>
      </c>
      <c r="E44" s="83">
        <f>E45+E46</f>
        <v>1815</v>
      </c>
      <c r="F44" s="83">
        <f>F45+F46</f>
        <v>0</v>
      </c>
      <c r="G44" s="83">
        <f>G45+G46</f>
        <v>0</v>
      </c>
      <c r="H44" s="83">
        <f>H45+H46</f>
        <v>0</v>
      </c>
      <c r="I44" s="83">
        <f>I45+I46</f>
        <v>0</v>
      </c>
      <c r="J44" s="83">
        <f>J45+J46</f>
        <v>0</v>
      </c>
      <c r="K44" s="83">
        <f>K45+K46</f>
        <v>0</v>
      </c>
      <c r="L44" s="83">
        <f>L45+L46</f>
        <v>0</v>
      </c>
      <c r="M44" s="83">
        <f>M45+M46</f>
        <v>0</v>
      </c>
      <c r="N44" s="83">
        <f>N45+N46</f>
        <v>0</v>
      </c>
      <c r="O44" s="83">
        <f>O45+O46</f>
        <v>0</v>
      </c>
      <c r="P44" s="83"/>
      <c r="Q44" s="83"/>
      <c r="R44" s="83"/>
      <c r="S44" s="83"/>
      <c r="T44" s="83"/>
    </row>
    <row r="45" spans="1:20" ht="29.25">
      <c r="A45" s="71">
        <v>40</v>
      </c>
      <c r="B45" s="84" t="s">
        <v>81</v>
      </c>
      <c r="C45" s="82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</row>
    <row r="46" spans="1:20" ht="43.5">
      <c r="A46" s="71">
        <v>41</v>
      </c>
      <c r="B46" s="84" t="s">
        <v>82</v>
      </c>
      <c r="C46" s="82">
        <v>377</v>
      </c>
      <c r="D46" s="85">
        <v>1316</v>
      </c>
      <c r="E46" s="85">
        <v>1815</v>
      </c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</row>
    <row r="47" spans="1:20" ht="43.5">
      <c r="A47" s="71">
        <v>42</v>
      </c>
      <c r="B47" s="81" t="s">
        <v>83</v>
      </c>
      <c r="C47" s="82">
        <f>SUM(C48:C50)</f>
        <v>0</v>
      </c>
      <c r="D47" s="82">
        <f>SUM(D48:D50)</f>
        <v>0</v>
      </c>
      <c r="E47" s="83">
        <f>SUM(E48:E50)</f>
        <v>0</v>
      </c>
      <c r="F47" s="83">
        <f>SUM(F48:F50)</f>
        <v>0</v>
      </c>
      <c r="G47" s="83">
        <f>SUM(G48:G50)</f>
        <v>0</v>
      </c>
      <c r="H47" s="83">
        <f>SUM(H48:H50)</f>
        <v>0</v>
      </c>
      <c r="I47" s="83">
        <f>SUM(I48:I50)</f>
        <v>0</v>
      </c>
      <c r="J47" s="83">
        <f>SUM(J48:J50)</f>
        <v>0</v>
      </c>
      <c r="K47" s="83">
        <f>SUM(K48:K50)</f>
        <v>0</v>
      </c>
      <c r="L47" s="83">
        <f>SUM(L48:L50)</f>
        <v>0</v>
      </c>
      <c r="M47" s="83">
        <f>SUM(M48:M50)</f>
        <v>0</v>
      </c>
      <c r="N47" s="83">
        <f>SUM(N48:N50)</f>
        <v>0</v>
      </c>
      <c r="O47" s="83">
        <f>SUM(O48:O50)</f>
        <v>0</v>
      </c>
      <c r="P47" s="83"/>
      <c r="Q47" s="83"/>
      <c r="R47" s="83"/>
      <c r="S47" s="83"/>
      <c r="T47" s="83"/>
    </row>
    <row r="48" spans="1:20" ht="15">
      <c r="A48" s="71"/>
      <c r="B48" s="84" t="s">
        <v>84</v>
      </c>
      <c r="C48" s="82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</row>
    <row r="49" spans="1:20" ht="15">
      <c r="A49" s="71"/>
      <c r="B49" s="84" t="s">
        <v>85</v>
      </c>
      <c r="C49" s="82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</row>
    <row r="50" spans="1:20" ht="15">
      <c r="A50" s="71"/>
      <c r="B50" s="84" t="s">
        <v>86</v>
      </c>
      <c r="C50" s="82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</row>
    <row r="51" spans="1:20" ht="35.25" customHeight="1">
      <c r="A51" s="67">
        <v>43</v>
      </c>
      <c r="B51" s="68" t="s">
        <v>87</v>
      </c>
      <c r="C51" s="86">
        <f>C39/C6*100</f>
        <v>9.85453582476434</v>
      </c>
      <c r="D51" s="86">
        <f>D39/D6*100</f>
        <v>7.644699117917948</v>
      </c>
      <c r="E51" s="86">
        <f>E39/E6*100</f>
        <v>29.694809031671994</v>
      </c>
      <c r="F51" s="86">
        <f>F39/F6*100</f>
        <v>51.39822719797331</v>
      </c>
      <c r="G51" s="86">
        <f>G39/G6*100</f>
        <v>56.592206655476915</v>
      </c>
      <c r="H51" s="86">
        <f>H39/H6*100</f>
        <v>46.630002682930076</v>
      </c>
      <c r="I51" s="86">
        <f>I39/I6*100</f>
        <v>37.60416130005596</v>
      </c>
      <c r="J51" s="86">
        <f>J39/J6*100</f>
        <v>30.322624279033423</v>
      </c>
      <c r="K51" s="86">
        <f>K39/K6*100</f>
        <v>23.69101425200154</v>
      </c>
      <c r="L51" s="86">
        <f>L39/L6*100</f>
        <v>17.6210825880989</v>
      </c>
      <c r="M51" s="86">
        <f>M39/M6*100</f>
        <v>13.55480069073017</v>
      </c>
      <c r="N51" s="86">
        <f>N39/N6*100</f>
        <v>9.686407149853704</v>
      </c>
      <c r="O51" s="86">
        <f>O39/O6*100</f>
        <v>5.727210120540174</v>
      </c>
      <c r="P51" s="86">
        <f>P39/P6*100</f>
        <v>3.6605642594923897</v>
      </c>
      <c r="Q51" s="86">
        <f>Q39/Q6*100</f>
        <v>1.8363472565747458</v>
      </c>
      <c r="R51" s="86">
        <f>R39/R6*100</f>
        <v>0</v>
      </c>
      <c r="S51" s="86">
        <f>S39/S6*100</f>
        <v>0</v>
      </c>
      <c r="T51" s="86">
        <f>T39/T6*100</f>
        <v>0</v>
      </c>
    </row>
    <row r="52" spans="1:20" ht="26.25">
      <c r="A52" s="87">
        <v>44</v>
      </c>
      <c r="B52" s="81" t="s">
        <v>88</v>
      </c>
      <c r="C52" s="88">
        <f>(C39-C47)/C6%</f>
        <v>9.85453582476434</v>
      </c>
      <c r="D52" s="88">
        <f>(D39-D47)/D6%</f>
        <v>7.6446991179179475</v>
      </c>
      <c r="E52" s="88">
        <f>(E39-E47)/E6%</f>
        <v>29.694809031671994</v>
      </c>
      <c r="F52" s="88">
        <f>(F39-F47)/F6%</f>
        <v>51.39822719797331</v>
      </c>
      <c r="G52" s="88">
        <f>(G39-G47)/G6%</f>
        <v>56.592206655476915</v>
      </c>
      <c r="H52" s="88">
        <f>(H39-H47)/H6%</f>
        <v>46.630002682930076</v>
      </c>
      <c r="I52" s="88">
        <f>(I39-I47)/I6%</f>
        <v>37.60416130005596</v>
      </c>
      <c r="J52" s="88">
        <f>(J39-J47)/J6%</f>
        <v>30.32262427903342</v>
      </c>
      <c r="K52" s="88">
        <f>(K39-K47)/K6%</f>
        <v>23.69101425200154</v>
      </c>
      <c r="L52" s="88">
        <f>(L39-L47)/L6%</f>
        <v>17.621082588098897</v>
      </c>
      <c r="M52" s="88">
        <f>(M39-M47)/M6%</f>
        <v>13.55480069073017</v>
      </c>
      <c r="N52" s="88">
        <f>(N39-N47)/N6%</f>
        <v>9.686407149853704</v>
      </c>
      <c r="O52" s="88">
        <f>(O39-O47)/O6%</f>
        <v>5.727210120540174</v>
      </c>
      <c r="P52" s="88">
        <f>(P39-P47)/P6%</f>
        <v>3.6605642594923897</v>
      </c>
      <c r="Q52" s="88">
        <f>(Q39-Q47)/Q6%</f>
        <v>1.836347256574746</v>
      </c>
      <c r="R52" s="88">
        <f>(R39-R47)/R6%</f>
        <v>0</v>
      </c>
      <c r="S52" s="88">
        <f>(S39-S47)/S6%</f>
        <v>0</v>
      </c>
      <c r="T52" s="88">
        <f>(T39-T47)/T6%</f>
        <v>0</v>
      </c>
    </row>
    <row r="53" spans="1:20" ht="29.25">
      <c r="A53" s="67">
        <v>45</v>
      </c>
      <c r="B53" s="68" t="s">
        <v>89</v>
      </c>
      <c r="C53" s="69">
        <f>C54+C55+C56+C57+C58+C59</f>
        <v>3259708</v>
      </c>
      <c r="D53" s="69">
        <f>D54+D55+D56+D57+D58+D59</f>
        <v>1778407.56</v>
      </c>
      <c r="E53" s="70">
        <f>E54+E55+E56+E57+E58+E59</f>
        <v>2601756.41</v>
      </c>
      <c r="F53" s="70">
        <f>F54+F55+F56+F57+F58+F59</f>
        <v>2953942.220316164</v>
      </c>
      <c r="G53" s="70">
        <f>G54+G55+G56+G57+G58+G59</f>
        <v>3297469.9095088067</v>
      </c>
      <c r="H53" s="70">
        <f>H54+H55+H56+H57+H58+H59</f>
        <v>5984313.927819149</v>
      </c>
      <c r="I53" s="70">
        <f>I54+I55+I56+I57+I58+I59</f>
        <v>5756902.200751719</v>
      </c>
      <c r="J53" s="70">
        <f>J54+J55+J56+J57+J58+J59</f>
        <v>5486292.303684289</v>
      </c>
      <c r="K53" s="70">
        <f>K54+K55+K56+K57+K58+K59</f>
        <v>4681108.576616859</v>
      </c>
      <c r="L53" s="70">
        <f>L54+L55+L56+L57+L58+L59</f>
        <v>4176734.3535494297</v>
      </c>
      <c r="M53" s="70">
        <f>M54+M55+M56+M57+M58+M59</f>
        <v>3046341.25</v>
      </c>
      <c r="N53" s="70">
        <f>N54+N55+N56+N57+N58+N59</f>
        <v>2930271.4</v>
      </c>
      <c r="O53" s="70">
        <f>O54+O55+O56+O57+O58+O59</f>
        <v>2810760.33</v>
      </c>
      <c r="P53" s="70">
        <f>P54+P55+P56+P57+P58+P59</f>
        <v>520873.05</v>
      </c>
      <c r="Q53" s="70">
        <f>Q54+Q55+Q56+Q57+Q58+Q59</f>
        <v>405651.61</v>
      </c>
      <c r="R53" s="70">
        <f>R54+R55+R56+R57+R58+R59</f>
        <v>409490.22</v>
      </c>
      <c r="S53" s="70">
        <f>S54+S55+S56+S57+S58+S59</f>
        <v>409490.22</v>
      </c>
      <c r="T53" s="70">
        <f>T54+T55+T56+T57+T58+T59</f>
        <v>414428.19999999995</v>
      </c>
    </row>
    <row r="54" spans="1:20" ht="26.25">
      <c r="A54" s="71">
        <v>46</v>
      </c>
      <c r="B54" s="81" t="s">
        <v>90</v>
      </c>
      <c r="C54" s="82">
        <f>299328+C29</f>
        <v>2076015</v>
      </c>
      <c r="D54" s="82">
        <f>D29+251721</f>
        <v>1778407.56</v>
      </c>
      <c r="E54" s="82">
        <f>E29+128118.01</f>
        <v>1878685.01</v>
      </c>
      <c r="F54" s="82">
        <f>kredyty_2!D15-F55</f>
        <v>1851915.520316164</v>
      </c>
      <c r="G54" s="82">
        <f>kredyty_2!E15-G55</f>
        <v>1687008.209508807</v>
      </c>
      <c r="H54" s="83">
        <f>kredyty_2!F15-H55</f>
        <v>2295589.5978191486</v>
      </c>
      <c r="I54" s="83">
        <f>kredyty_2!G15-I55</f>
        <v>2187698.940751719</v>
      </c>
      <c r="J54" s="83">
        <f>kredyty_2!H15-J55</f>
        <v>2058808.283684289</v>
      </c>
      <c r="K54" s="83">
        <f>kredyty_2!I15-K55</f>
        <v>1373135.6266168589</v>
      </c>
      <c r="L54" s="83">
        <f>kredyty_2!J15-L55</f>
        <v>1010882.0335494296</v>
      </c>
      <c r="M54" s="83">
        <f>kredyty_2!K15-M55</f>
        <v>0</v>
      </c>
      <c r="N54" s="83">
        <f>kredyty_2!L15-N55</f>
        <v>0</v>
      </c>
      <c r="O54" s="83">
        <f>kredyty_2!M15-O55</f>
        <v>0</v>
      </c>
      <c r="P54" s="83">
        <f>kredyty_2!N15-P55</f>
        <v>0</v>
      </c>
      <c r="Q54" s="83">
        <f>kredyty_2!O15</f>
        <v>0</v>
      </c>
      <c r="R54" s="83">
        <f>kredyty_2!P15</f>
        <v>0</v>
      </c>
      <c r="S54" s="83">
        <f>kredyty_2!Q15</f>
        <v>0</v>
      </c>
      <c r="T54" s="83">
        <f>kredyty_2!R15</f>
        <v>0</v>
      </c>
    </row>
    <row r="55" spans="1:20" ht="26.25">
      <c r="A55" s="71">
        <v>47</v>
      </c>
      <c r="B55" s="81" t="s">
        <v>91</v>
      </c>
      <c r="C55" s="82">
        <v>123417</v>
      </c>
      <c r="D55" s="82"/>
      <c r="E55" s="82"/>
      <c r="F55" s="82">
        <f>kredyty_2!D25+kredyty_2!D11</f>
        <v>9250</v>
      </c>
      <c r="G55" s="82">
        <f>kredyty_2!E25+kredyty_2!E11</f>
        <v>37000</v>
      </c>
      <c r="H55" s="83">
        <f>kredyty_2!F25+kredyty_2!F11</f>
        <v>148120</v>
      </c>
      <c r="I55" s="83">
        <f>kredyty_2!G25+kredyty_2!G11</f>
        <v>143998.93</v>
      </c>
      <c r="J55" s="83">
        <f>kredyty_2!H25+kredyty_2!H11</f>
        <v>139887.86</v>
      </c>
      <c r="K55" s="83">
        <f>kredyty_2!I25+kredyty_2!I11</f>
        <v>135776.79</v>
      </c>
      <c r="L55" s="83">
        <f>kredyty_2!J25+kredyty_2!J11</f>
        <v>131665.72</v>
      </c>
      <c r="M55" s="83">
        <f>kredyty_2!K25+kredyty_2!K11</f>
        <v>127554.65</v>
      </c>
      <c r="N55" s="83">
        <f>kredyty_2!L25+kredyty_2!L11</f>
        <v>123443.58</v>
      </c>
      <c r="O55" s="83">
        <f>kredyty_2!M25+kredyty_2!M11</f>
        <v>119332.51</v>
      </c>
      <c r="P55" s="83">
        <f>kredyty_2!N25+kredyty_2!N11</f>
        <v>115221.44</v>
      </c>
      <c r="Q55" s="82"/>
      <c r="R55" s="82"/>
      <c r="S55" s="82"/>
      <c r="T55" s="82"/>
    </row>
    <row r="56" spans="1:20" ht="29.25">
      <c r="A56" s="71">
        <v>48</v>
      </c>
      <c r="B56" s="81" t="s">
        <v>92</v>
      </c>
      <c r="C56" s="82"/>
      <c r="D56" s="82"/>
      <c r="E56" s="82">
        <f>poreczenia!D14+poreczenia!E14</f>
        <v>445203.4</v>
      </c>
      <c r="F56" s="82">
        <f>poreczenia!E14+poreczenia!F14</f>
        <v>476261.69999999995</v>
      </c>
      <c r="G56" s="83">
        <f>poreczenia!F14+poreczenia!G14</f>
        <v>476261.69999999995</v>
      </c>
      <c r="H56" s="83">
        <f>poreczenia!G14+poreczenia!H14</f>
        <v>443404.32999999996</v>
      </c>
      <c r="I56" s="83">
        <f>poreczenia!H14+poreczenia!I14</f>
        <v>443404.32999999996</v>
      </c>
      <c r="J56" s="83">
        <f>poreczenia!I14+poreczenia!J14</f>
        <v>421196.16000000003</v>
      </c>
      <c r="K56" s="83">
        <f>poreczenia!J14+poreczenia!K14</f>
        <v>421196.16000000003</v>
      </c>
      <c r="L56" s="83">
        <f>poreczenia!K14+poreczenia!L14</f>
        <v>398586.6</v>
      </c>
      <c r="M56" s="83">
        <f>poreczenia!L14+poreczenia!M14</f>
        <v>398586.6</v>
      </c>
      <c r="N56" s="83">
        <f>poreczenia!M14+poreczenia!N14</f>
        <v>402027.82</v>
      </c>
      <c r="O56" s="83">
        <f>poreczenia!N14+poreczenia!O14</f>
        <v>402027.82</v>
      </c>
      <c r="P56" s="83">
        <f>poreczenia!O14+poreczenia!P14</f>
        <v>405651.61</v>
      </c>
      <c r="Q56" s="83">
        <f>poreczenia!P14+poreczenia!Q14</f>
        <v>405651.61</v>
      </c>
      <c r="R56" s="83">
        <f>poreczenia!Q14+poreczenia!R14</f>
        <v>409490.22</v>
      </c>
      <c r="S56" s="83">
        <f>poreczenia!R14+poreczenia!S14</f>
        <v>409490.22</v>
      </c>
      <c r="T56" s="83">
        <f>poreczenia!S14+poreczenia!T14</f>
        <v>414428.19999999995</v>
      </c>
    </row>
    <row r="57" spans="1:20" ht="40.5">
      <c r="A57" s="71">
        <v>49</v>
      </c>
      <c r="B57" s="81" t="s">
        <v>93</v>
      </c>
      <c r="C57" s="82">
        <v>1060276</v>
      </c>
      <c r="D57" s="82"/>
      <c r="E57" s="82">
        <v>277868</v>
      </c>
      <c r="F57" s="82">
        <f>kredyty_2!D35</f>
        <v>616515</v>
      </c>
      <c r="G57" s="83">
        <f>kredyty_2!E35</f>
        <v>1097200</v>
      </c>
      <c r="H57" s="83">
        <f>kredyty_2!F35</f>
        <v>3097200</v>
      </c>
      <c r="I57" s="83">
        <f>kredyty_2!G35</f>
        <v>2981800</v>
      </c>
      <c r="J57" s="83">
        <f>kredyty_2!H35</f>
        <v>2866400</v>
      </c>
      <c r="K57" s="83">
        <f>kredyty_2!I35</f>
        <v>2751000</v>
      </c>
      <c r="L57" s="83">
        <f>kredyty_2!J35</f>
        <v>2635600</v>
      </c>
      <c r="M57" s="83">
        <f>kredyty_2!K35</f>
        <v>2520200</v>
      </c>
      <c r="N57" s="83">
        <f>kredyty_2!L35</f>
        <v>2404800</v>
      </c>
      <c r="O57" s="83">
        <f>kredyty_2!M35</f>
        <v>2289400</v>
      </c>
      <c r="P57" s="83"/>
      <c r="Q57" s="82"/>
      <c r="R57" s="82"/>
      <c r="S57" s="82"/>
      <c r="T57" s="82"/>
    </row>
    <row r="58" spans="1:20" ht="57.75">
      <c r="A58" s="71">
        <v>50</v>
      </c>
      <c r="B58" s="81" t="s">
        <v>94</v>
      </c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</row>
    <row r="59" spans="1:20" ht="57">
      <c r="A59" s="71">
        <v>51</v>
      </c>
      <c r="B59" s="81" t="s">
        <v>95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</row>
    <row r="60" spans="1:20" ht="15">
      <c r="A60" s="71"/>
      <c r="B60" s="84" t="s">
        <v>96</v>
      </c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</row>
    <row r="61" spans="1:20" ht="15">
      <c r="A61" s="71"/>
      <c r="B61" s="84" t="s">
        <v>97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</row>
    <row r="62" spans="1:20" ht="29.25">
      <c r="A62" s="71"/>
      <c r="B62" s="84" t="s">
        <v>98</v>
      </c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</row>
    <row r="63" spans="1:20" ht="43.5">
      <c r="A63" s="71"/>
      <c r="B63" s="84" t="s">
        <v>99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</row>
    <row r="64" spans="1:20" ht="26.25">
      <c r="A64" s="67">
        <v>52</v>
      </c>
      <c r="B64" s="68" t="s">
        <v>100</v>
      </c>
      <c r="C64" s="86">
        <f>C53/C6*100</f>
        <v>8.249546537987857</v>
      </c>
      <c r="D64" s="86">
        <f>D53/D6*100</f>
        <v>4.360786563479151</v>
      </c>
      <c r="E64" s="86">
        <f>E53/E6*100</f>
        <v>6.247294718548161</v>
      </c>
      <c r="F64" s="86">
        <f>F53/F6*100</f>
        <v>6.2473661947052905</v>
      </c>
      <c r="G64" s="86">
        <f>G53/G6*100</f>
        <v>6.7348043504593225</v>
      </c>
      <c r="H64" s="86">
        <f>H53/H6*100</f>
        <v>11.747622873208357</v>
      </c>
      <c r="I64" s="86">
        <f>I53/I6*100</f>
        <v>10.934180190724827</v>
      </c>
      <c r="J64" s="86">
        <f>J53/J6*100</f>
        <v>10.48593231329313</v>
      </c>
      <c r="K64" s="86">
        <f>K53/K6*100</f>
        <v>8.864844696446811</v>
      </c>
      <c r="L64" s="86">
        <f>L53/L6*100</f>
        <v>7.792794595809213</v>
      </c>
      <c r="M64" s="86">
        <f>M53/M6*100</f>
        <v>5.630804624870258</v>
      </c>
      <c r="N64" s="86">
        <f>N53/N6*100</f>
        <v>5.435198409866268</v>
      </c>
      <c r="O64" s="86">
        <f>O53/O6*100</f>
        <v>5.174299529231958</v>
      </c>
      <c r="P64" s="86">
        <f>P53/P6*100</f>
        <v>0.9533446352813961</v>
      </c>
      <c r="Q64" s="86">
        <f>Q53/Q6*100</f>
        <v>0.7449172211486287</v>
      </c>
      <c r="R64" s="86">
        <f>R53/R6*100</f>
        <v>0.7408534404839301</v>
      </c>
      <c r="S64" s="86">
        <f>S53/S6*100</f>
        <v>0.7299048674718523</v>
      </c>
      <c r="T64" s="86">
        <f>T53/T6*100</f>
        <v>0.7277898312826925</v>
      </c>
    </row>
    <row r="65" spans="1:20" s="89" customFormat="1" ht="26.25">
      <c r="A65" s="87">
        <v>53</v>
      </c>
      <c r="B65" s="81" t="s">
        <v>101</v>
      </c>
      <c r="C65" s="88">
        <f>(C53-C59)/C6%</f>
        <v>8.249546537987857</v>
      </c>
      <c r="D65" s="88">
        <f>(D53-D59)/D6%</f>
        <v>4.360786563479151</v>
      </c>
      <c r="E65" s="88">
        <f>(E53-E59)/E6%</f>
        <v>6.24729471854816</v>
      </c>
      <c r="F65" s="88">
        <f>(F53-F59)/F6%</f>
        <v>6.24736619470529</v>
      </c>
      <c r="G65" s="88">
        <f>(G53-G59)/G6%</f>
        <v>6.7348043504593225</v>
      </c>
      <c r="H65" s="88">
        <f>(H53-H59)/H6%</f>
        <v>11.747622873208355</v>
      </c>
      <c r="I65" s="88">
        <f>(I53-I59)/I6%</f>
        <v>10.93418019072483</v>
      </c>
      <c r="J65" s="88">
        <f>(J53-J59)/J6%</f>
        <v>10.485932313293128</v>
      </c>
      <c r="K65" s="88">
        <f>(K53-K59)/K6%</f>
        <v>8.864844696446811</v>
      </c>
      <c r="L65" s="88">
        <f>(L53-L59)/L6%</f>
        <v>7.792794595809212</v>
      </c>
      <c r="M65" s="88">
        <f>(M53-M59)/M6%</f>
        <v>5.630804624870258</v>
      </c>
      <c r="N65" s="88">
        <f>(N53-N59)/N6%</f>
        <v>5.435198409866268</v>
      </c>
      <c r="O65" s="88">
        <f>(O53-O59)/O6%</f>
        <v>5.174299529231958</v>
      </c>
      <c r="P65" s="88">
        <f>(P53-P59)/P6%</f>
        <v>0.9533446352813962</v>
      </c>
      <c r="Q65" s="88">
        <f>(Q53-Q59)/Q6%</f>
        <v>0.7449172211486288</v>
      </c>
      <c r="R65" s="88">
        <f>(R53-R59)/R6%</f>
        <v>0.7408534404839301</v>
      </c>
      <c r="S65" s="88">
        <f>(S53-S59)/S6%</f>
        <v>0.7299048674718523</v>
      </c>
      <c r="T65" s="88">
        <f>(T53-T59)/T6%</f>
        <v>0.7277898312826925</v>
      </c>
    </row>
    <row r="66" spans="1:252" s="92" customFormat="1" ht="43.5">
      <c r="A66" s="67">
        <v>54</v>
      </c>
      <c r="B66" s="90" t="s">
        <v>102</v>
      </c>
      <c r="C66" s="69">
        <f>C67+C68</f>
        <v>0</v>
      </c>
      <c r="D66" s="69">
        <f>D67+D68</f>
        <v>0</v>
      </c>
      <c r="E66" s="69">
        <f>E67+E68</f>
        <v>0</v>
      </c>
      <c r="F66" s="69">
        <f>F67+F68</f>
        <v>157315</v>
      </c>
      <c r="G66" s="69">
        <f>G67+G68</f>
        <v>638000</v>
      </c>
      <c r="H66" s="69">
        <f>H67+H68</f>
        <v>1638000</v>
      </c>
      <c r="I66" s="69">
        <f>I67+I68</f>
        <v>1580000</v>
      </c>
      <c r="J66" s="69">
        <f>J67+J68</f>
        <v>1522000</v>
      </c>
      <c r="K66" s="69">
        <f>K67+K68</f>
        <v>1464000</v>
      </c>
      <c r="L66" s="69">
        <f>L67+L68</f>
        <v>1406000</v>
      </c>
      <c r="M66" s="69">
        <f>M67+M68</f>
        <v>1348000</v>
      </c>
      <c r="N66" s="69">
        <f>N67+N68</f>
        <v>1290000</v>
      </c>
      <c r="O66" s="69">
        <f>O67+O68</f>
        <v>1232000</v>
      </c>
      <c r="P66" s="69">
        <f>P67+P68</f>
        <v>1174000</v>
      </c>
      <c r="Q66" s="69">
        <f>Q67+Q68</f>
        <v>1116000</v>
      </c>
      <c r="R66" s="69">
        <f>R67+R68</f>
        <v>1058000</v>
      </c>
      <c r="S66" s="69">
        <f>S67+S68</f>
        <v>0</v>
      </c>
      <c r="T66" s="69">
        <f>T67+T68</f>
        <v>0</v>
      </c>
      <c r="U66" s="91"/>
      <c r="AA66" s="93"/>
      <c r="AB66" s="91"/>
      <c r="AH66" s="93"/>
      <c r="AI66" s="91"/>
      <c r="AO66" s="93"/>
      <c r="AP66" s="91"/>
      <c r="AV66" s="93"/>
      <c r="AW66" s="91"/>
      <c r="BC66" s="93"/>
      <c r="BD66" s="91"/>
      <c r="BJ66" s="93"/>
      <c r="BK66" s="91"/>
      <c r="BQ66" s="93"/>
      <c r="BR66" s="91"/>
      <c r="BX66" s="93"/>
      <c r="BY66" s="91"/>
      <c r="CE66" s="93"/>
      <c r="CF66" s="91"/>
      <c r="CL66" s="93"/>
      <c r="CM66" s="91"/>
      <c r="CS66" s="93"/>
      <c r="CT66" s="91"/>
      <c r="CZ66" s="93"/>
      <c r="DA66" s="91"/>
      <c r="DG66" s="93"/>
      <c r="DH66" s="91"/>
      <c r="DN66" s="93"/>
      <c r="DO66" s="91"/>
      <c r="DU66" s="93"/>
      <c r="DV66" s="91"/>
      <c r="EB66" s="93"/>
      <c r="EC66" s="91"/>
      <c r="EI66" s="93"/>
      <c r="EJ66" s="91"/>
      <c r="EP66" s="93"/>
      <c r="EQ66" s="91"/>
      <c r="EW66" s="93"/>
      <c r="EX66" s="91"/>
      <c r="FD66" s="93"/>
      <c r="FE66" s="91"/>
      <c r="FK66" s="93"/>
      <c r="FL66" s="91"/>
      <c r="FR66" s="93"/>
      <c r="FS66" s="91"/>
      <c r="FY66" s="93"/>
      <c r="FZ66" s="91"/>
      <c r="GF66" s="93"/>
      <c r="GG66" s="91"/>
      <c r="GM66" s="93"/>
      <c r="GN66" s="91"/>
      <c r="GT66" s="93"/>
      <c r="GU66" s="91"/>
      <c r="HA66" s="93"/>
      <c r="HB66" s="91"/>
      <c r="HH66" s="93"/>
      <c r="HI66" s="91"/>
      <c r="HO66" s="93"/>
      <c r="HP66" s="91"/>
      <c r="HV66" s="93"/>
      <c r="HW66" s="91"/>
      <c r="IC66" s="93"/>
      <c r="ID66" s="91"/>
      <c r="IJ66" s="93"/>
      <c r="IK66" s="91"/>
      <c r="IQ66" s="93"/>
      <c r="IR66" s="91"/>
    </row>
    <row r="67" spans="1:252" s="96" customFormat="1" ht="29.25">
      <c r="A67" s="71">
        <v>55</v>
      </c>
      <c r="B67" s="94" t="s">
        <v>103</v>
      </c>
      <c r="C67" s="82"/>
      <c r="D67" s="82"/>
      <c r="E67" s="82"/>
      <c r="F67" s="82">
        <f>kredyty_2!D11</f>
        <v>0</v>
      </c>
      <c r="G67" s="82">
        <f>kredyty_2!E11</f>
        <v>0</v>
      </c>
      <c r="H67" s="83">
        <f>kredyty_2!F33</f>
        <v>1000000</v>
      </c>
      <c r="I67" s="83">
        <f>kredyty_2!G33</f>
        <v>1000000</v>
      </c>
      <c r="J67" s="83">
        <f>kredyty_2!H33</f>
        <v>1000000</v>
      </c>
      <c r="K67" s="83">
        <f>kredyty_2!I33</f>
        <v>1000000</v>
      </c>
      <c r="L67" s="83">
        <f>kredyty_2!J33</f>
        <v>1000000</v>
      </c>
      <c r="M67" s="83">
        <f>kredyty_2!K33</f>
        <v>1000000</v>
      </c>
      <c r="N67" s="83">
        <f>kredyty_2!L33</f>
        <v>1000000</v>
      </c>
      <c r="O67" s="83">
        <f>kredyty_2!M33</f>
        <v>1000000</v>
      </c>
      <c r="P67" s="83">
        <f>kredyty_2!N33</f>
        <v>1000000</v>
      </c>
      <c r="Q67" s="83">
        <f>kredyty_2!O33</f>
        <v>1000000</v>
      </c>
      <c r="R67" s="83">
        <f>kredyty_2!P33</f>
        <v>1000000</v>
      </c>
      <c r="S67" s="83">
        <f>kredyty_2!Q33</f>
        <v>0</v>
      </c>
      <c r="T67" s="83">
        <f>kredyty_2!R3</f>
        <v>0</v>
      </c>
      <c r="U67" s="95"/>
      <c r="AA67" s="93"/>
      <c r="AB67" s="95"/>
      <c r="AH67" s="93"/>
      <c r="AI67" s="95"/>
      <c r="AO67" s="93"/>
      <c r="AP67" s="95"/>
      <c r="AV67" s="93"/>
      <c r="AW67" s="95"/>
      <c r="BC67" s="93"/>
      <c r="BD67" s="95"/>
      <c r="BJ67" s="93"/>
      <c r="BK67" s="95"/>
      <c r="BQ67" s="93"/>
      <c r="BR67" s="95"/>
      <c r="BX67" s="93"/>
      <c r="BY67" s="95"/>
      <c r="CE67" s="93"/>
      <c r="CF67" s="95"/>
      <c r="CL67" s="93"/>
      <c r="CM67" s="95"/>
      <c r="CS67" s="93"/>
      <c r="CT67" s="95"/>
      <c r="CZ67" s="93"/>
      <c r="DA67" s="95"/>
      <c r="DG67" s="93"/>
      <c r="DH67" s="95"/>
      <c r="DN67" s="93"/>
      <c r="DO67" s="95"/>
      <c r="DU67" s="93"/>
      <c r="DV67" s="95"/>
      <c r="EB67" s="93"/>
      <c r="EC67" s="95"/>
      <c r="EI67" s="93"/>
      <c r="EJ67" s="95"/>
      <c r="EP67" s="93"/>
      <c r="EQ67" s="95"/>
      <c r="EW67" s="93"/>
      <c r="EX67" s="95"/>
      <c r="FD67" s="93"/>
      <c r="FE67" s="95"/>
      <c r="FK67" s="93"/>
      <c r="FL67" s="95"/>
      <c r="FR67" s="93"/>
      <c r="FS67" s="95"/>
      <c r="FY67" s="93"/>
      <c r="FZ67" s="95"/>
      <c r="GF67" s="93"/>
      <c r="GG67" s="95"/>
      <c r="GM67" s="93"/>
      <c r="GN67" s="95"/>
      <c r="GT67" s="93"/>
      <c r="GU67" s="95"/>
      <c r="HA67" s="93"/>
      <c r="HB67" s="95"/>
      <c r="HH67" s="93"/>
      <c r="HI67" s="95"/>
      <c r="HO67" s="93"/>
      <c r="HP67" s="95"/>
      <c r="HV67" s="93"/>
      <c r="HW67" s="95"/>
      <c r="IC67" s="93"/>
      <c r="ID67" s="95"/>
      <c r="IJ67" s="93"/>
      <c r="IK67" s="95"/>
      <c r="IQ67" s="93"/>
      <c r="IR67" s="95"/>
    </row>
    <row r="68" spans="1:252" s="96" customFormat="1" ht="15">
      <c r="A68" s="71">
        <v>56</v>
      </c>
      <c r="B68" s="94" t="s">
        <v>104</v>
      </c>
      <c r="C68" s="82"/>
      <c r="D68" s="82"/>
      <c r="E68" s="83"/>
      <c r="F68" s="83">
        <f>kredyty_2!D39</f>
        <v>157315</v>
      </c>
      <c r="G68" s="83">
        <f>kredyty_2!E39</f>
        <v>638000</v>
      </c>
      <c r="H68" s="83">
        <f>kredyty_2!F39</f>
        <v>638000</v>
      </c>
      <c r="I68" s="83">
        <f>kredyty_2!G39</f>
        <v>580000</v>
      </c>
      <c r="J68" s="83">
        <f>kredyty_2!H39</f>
        <v>522000</v>
      </c>
      <c r="K68" s="83">
        <f>kredyty_2!I39</f>
        <v>464000</v>
      </c>
      <c r="L68" s="83">
        <f>kredyty_2!J39</f>
        <v>406000</v>
      </c>
      <c r="M68" s="83">
        <f>kredyty_2!K39</f>
        <v>348000</v>
      </c>
      <c r="N68" s="83">
        <f>kredyty_2!L39</f>
        <v>290000</v>
      </c>
      <c r="O68" s="83">
        <f>kredyty_2!M39</f>
        <v>232000</v>
      </c>
      <c r="P68" s="83">
        <f>kredyty_2!N39</f>
        <v>174000</v>
      </c>
      <c r="Q68" s="83">
        <f>kredyty_2!O39</f>
        <v>116000</v>
      </c>
      <c r="R68" s="83">
        <f>kredyty_2!P39</f>
        <v>58000</v>
      </c>
      <c r="S68" s="83">
        <f>kredyty_2!Q39</f>
        <v>0</v>
      </c>
      <c r="T68" s="83">
        <f>kredyty_2!T17+kredyty_2!T37</f>
        <v>0</v>
      </c>
      <c r="U68" s="95"/>
      <c r="AA68" s="93"/>
      <c r="AB68" s="95"/>
      <c r="AH68" s="93"/>
      <c r="AI68" s="95"/>
      <c r="AO68" s="93"/>
      <c r="AP68" s="95"/>
      <c r="AV68" s="93"/>
      <c r="AW68" s="95"/>
      <c r="BC68" s="93"/>
      <c r="BD68" s="95"/>
      <c r="BJ68" s="93"/>
      <c r="BK68" s="95"/>
      <c r="BQ68" s="93"/>
      <c r="BR68" s="95"/>
      <c r="BX68" s="93"/>
      <c r="BY68" s="95"/>
      <c r="CE68" s="93"/>
      <c r="CF68" s="95"/>
      <c r="CL68" s="93"/>
      <c r="CM68" s="95"/>
      <c r="CS68" s="93"/>
      <c r="CT68" s="95"/>
      <c r="CZ68" s="93"/>
      <c r="DA68" s="95"/>
      <c r="DG68" s="93"/>
      <c r="DH68" s="95"/>
      <c r="DN68" s="93"/>
      <c r="DO68" s="95"/>
      <c r="DU68" s="93"/>
      <c r="DV68" s="95"/>
      <c r="EB68" s="93"/>
      <c r="EC68" s="95"/>
      <c r="EI68" s="93"/>
      <c r="EJ68" s="95"/>
      <c r="EP68" s="93"/>
      <c r="EQ68" s="95"/>
      <c r="EW68" s="93"/>
      <c r="EX68" s="95"/>
      <c r="FD68" s="93"/>
      <c r="FE68" s="95"/>
      <c r="FK68" s="93"/>
      <c r="FL68" s="95"/>
      <c r="FR68" s="93"/>
      <c r="FS68" s="95"/>
      <c r="FY68" s="93"/>
      <c r="FZ68" s="95"/>
      <c r="GF68" s="93"/>
      <c r="GG68" s="95"/>
      <c r="GM68" s="93"/>
      <c r="GN68" s="95"/>
      <c r="GT68" s="93"/>
      <c r="GU68" s="95"/>
      <c r="HA68" s="93"/>
      <c r="HB68" s="95"/>
      <c r="HH68" s="93"/>
      <c r="HI68" s="95"/>
      <c r="HO68" s="93"/>
      <c r="HP68" s="95"/>
      <c r="HV68" s="93"/>
      <c r="HW68" s="95"/>
      <c r="IC68" s="93"/>
      <c r="ID68" s="95"/>
      <c r="IJ68" s="93"/>
      <c r="IK68" s="95"/>
      <c r="IQ68" s="93"/>
      <c r="IR68" s="95"/>
    </row>
    <row r="69" spans="1:20" s="89" customFormat="1" ht="24.75" customHeight="1">
      <c r="A69" s="97"/>
      <c r="B69" s="98" t="s">
        <v>105</v>
      </c>
      <c r="C69" s="98"/>
      <c r="D69" s="98"/>
      <c r="E69" s="98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</row>
    <row r="72" ht="12.75">
      <c r="G72"/>
    </row>
    <row r="77" ht="12.75">
      <c r="G77" s="100"/>
    </row>
  </sheetData>
  <mergeCells count="7">
    <mergeCell ref="A2:T2"/>
    <mergeCell ref="D4:E4"/>
    <mergeCell ref="F4:T4"/>
    <mergeCell ref="A47:A50"/>
    <mergeCell ref="A59:A63"/>
    <mergeCell ref="B69:E69"/>
    <mergeCell ref="F69:T69"/>
  </mergeCells>
  <printOptions horizontalCentered="1" verticalCentered="1"/>
  <pageMargins left="0.27569444444444446" right="0.11805555555555555" top="0.5902777777777778" bottom="0.5902777777777778" header="0.5118055555555555" footer="0.5118055555555555"/>
  <pageSetup horizontalDpi="300" verticalDpi="300" orientation="landscape" paperSize="9" scale="51"/>
  <rowBreaks count="2" manualBreakCount="2">
    <brk id="38" max="255" man="1"/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/>
  <cp:lastPrinted>2010-06-10T08:32:29Z</cp:lastPrinted>
  <dcterms:created xsi:type="dcterms:W3CDTF">1998-12-09T13:02:10Z</dcterms:created>
  <dcterms:modified xsi:type="dcterms:W3CDTF">2010-07-01T11:39:19Z</dcterms:modified>
  <cp:category/>
  <cp:version/>
  <cp:contentType/>
  <cp:contentStatus/>
  <cp:revision>259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AuthorEmail">
    <vt:lpwstr>prezes@bydgoszcz.rio.gov.pl</vt:lpwstr>
  </property>
  <property fmtid="{D5CDD505-2E9C-101B-9397-08002B2CF9AE}" pid="4" name="_AuthorEmailDisplayName">
    <vt:lpwstr>Prezes</vt:lpwstr>
  </property>
</Properties>
</file>