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zał 1" sheetId="2" r:id="rId2"/>
    <sheet name="zał 2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  <sheet name="zał 11" sheetId="12" r:id="rId12"/>
    <sheet name="zał 12" sheetId="13" r:id="rId13"/>
    <sheet name="zał 13" sheetId="14" r:id="rId14"/>
    <sheet name="zał 14" sheetId="15" r:id="rId15"/>
    <sheet name="zał 15" sheetId="16" r:id="rId16"/>
    <sheet name="zał 16" sheetId="17" r:id="rId17"/>
    <sheet name="zał 17" sheetId="18" r:id="rId18"/>
    <sheet name="zał 18" sheetId="19" r:id="rId19"/>
    <sheet name="zał 19" sheetId="20" r:id="rId20"/>
    <sheet name="zał 20" sheetId="21" r:id="rId21"/>
    <sheet name="zał 21" sheetId="22" r:id="rId22"/>
    <sheet name="zał 22" sheetId="23" r:id="rId23"/>
    <sheet name="zał 23" sheetId="24" r:id="rId24"/>
    <sheet name="zał 24" sheetId="25" r:id="rId25"/>
    <sheet name="zał 25" sheetId="26" r:id="rId26"/>
    <sheet name="zał 26" sheetId="27" r:id="rId27"/>
    <sheet name="zał 27" sheetId="28" r:id="rId28"/>
    <sheet name="zał 28" sheetId="29" r:id="rId29"/>
    <sheet name="zał 29" sheetId="30" r:id="rId30"/>
    <sheet name="zał 30" sheetId="31" r:id="rId31"/>
    <sheet name="zał 31" sheetId="32" r:id="rId32"/>
    <sheet name="zał 32" sheetId="33" r:id="rId33"/>
    <sheet name="zał 33" sheetId="34" r:id="rId34"/>
  </sheets>
  <externalReferences>
    <externalReference r:id="rId37"/>
  </externalReferences>
  <definedNames>
    <definedName name="Excel_BuiltIn_Print_Area_10_1">"$#ODWOŁANIE.$B$3:$D$13"</definedName>
    <definedName name="Excel_BuiltIn_Print_Area_11_1">"$#ODWOŁANIE.$A$3:$D$13"</definedName>
    <definedName name="Excel_BuiltIn_Print_Area_11_1_1">"$#ODWOŁANIE.$B$3:$E$6"</definedName>
    <definedName name="Excel_BuiltIn_Print_Area_11_1_1_1">"$#ODWOŁANIE.$B$3:$D$3"</definedName>
    <definedName name="Excel_BuiltIn_Print_Area_12">"$#ODWOŁANIE.$B$3:$D$4"</definedName>
    <definedName name="Excel_BuiltIn_Print_Area_13_1">"$#ODWOŁANIE.$B$3:$D$6"</definedName>
    <definedName name="Excel_BuiltIn_Print_Area_14_1">"$#ODWOŁANIE.$B$3:$D$13"</definedName>
    <definedName name="Excel_BuiltIn_Print_Area_17_1">"$#ODWOŁANIE.$B$3:$D$13"</definedName>
    <definedName name="Excel_BuiltIn_Print_Area_18_1">#REF!</definedName>
    <definedName name="Excel_BuiltIn_Print_Area_18_1_1">"$#ODWOŁANIE.$B$3:$D$267"</definedName>
    <definedName name="Excel_BuiltIn_Print_Area_3_1">"$#ODWOŁANIE.$B$3:$D$5"</definedName>
    <definedName name="Excel_BuiltIn_Print_Area_33_1">#REF!</definedName>
    <definedName name="Excel_BuiltIn_Print_Area_33_1_1">#REF!</definedName>
    <definedName name="Excel_BuiltIn_Print_Area_6_1">'zał 7'!$A$1:$O$345</definedName>
    <definedName name="Excel_BuiltIn_Print_Area_7_1">'zał 8'!$A$1:$L$60</definedName>
    <definedName name="Excel_BuiltIn_Print_Area_8_1">"$#ODWOŁANIE.$B$3:$D$274"</definedName>
    <definedName name="_xlnm.Print_Area" localSheetId="2">'zał 2'!$A$1:$G$126</definedName>
    <definedName name="_xlnm.Print_Area" localSheetId="28">'zał 28'!$A$1:$D$18</definedName>
    <definedName name="_xlnm.Print_Area" localSheetId="7">'zał 7'!$A$1:$O$380</definedName>
    <definedName name="_xlnm.Print_Area" localSheetId="8">'zał 8'!$A$1:$L$64</definedName>
    <definedName name="_xlnm.Print_Area" localSheetId="9">'zał 9'!$A$1:$J$12</definedName>
  </definedNames>
  <calcPr fullCalcOnLoad="1"/>
</workbook>
</file>

<file path=xl/sharedStrings.xml><?xml version="1.0" encoding="utf-8"?>
<sst xmlns="http://schemas.openxmlformats.org/spreadsheetml/2006/main" count="2173" uniqueCount="769">
  <si>
    <t>Dotacja podmiotowa z budżetu dla samorządowej instytucji kultury</t>
  </si>
  <si>
    <t>Barlinecki Ośrodek Kultury</t>
  </si>
  <si>
    <t>Załącznik Nr 25 do projektu uchwały Nr …. Rady Miejskiej w Barlinku z dnia ........grudnia 2009</t>
  </si>
  <si>
    <t>DOTACJE PODMIOTOWE DLA JEDNOSTEK SPOZA SEKTORA FINANSÓW PUBLICZNYCH NA 2010 ROK</t>
  </si>
  <si>
    <t>Oświata i wychowanie</t>
  </si>
  <si>
    <t xml:space="preserve">Dotacja podmiotowa dla niepublicznej jednostki systemu oświaty </t>
  </si>
  <si>
    <t>1.Niepubliczne przedszkole w Rychnowie</t>
  </si>
  <si>
    <t xml:space="preserve">  </t>
  </si>
  <si>
    <t xml:space="preserve">2.Niepubliczne przedszkole w Płonnie </t>
  </si>
  <si>
    <t>3.Niepubliczne przedszkole Bratek w Barlinku</t>
  </si>
  <si>
    <t>4.Niepubliczne przedszkole w Dziedzicach</t>
  </si>
  <si>
    <t>Załącznik Nr 26 do projektu uchwały Nr   Rady Miejskiej w Barlinku z dnia ........grudnia 2009</t>
  </si>
  <si>
    <t>Dotacje celowe udzielone z budżetu Gminy Barlinek na zadania własne gminy realizowane przez podmioty należące do sektora finansów publicznych w 2010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</si>
  <si>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</si>
  <si>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Dotacje celowe przekazane gminie na zadania bieżące realizowane na podstawie porozumień między j.s.t.</t>
  </si>
  <si>
    <t>Kultura fizyczna i sport</t>
  </si>
  <si>
    <t>Dotacje celowe przekazane dla powiatu na zadania bieżące realizowane na podstawie porozumień (umów) między jednostkami samorządu terytorialnego</t>
  </si>
  <si>
    <t>Załącznik Nr 27 do projektu uchwały Nr   Rady Miejskiej w Barlinku z dnia ........grudnia 2009</t>
  </si>
  <si>
    <t>Dotacje celowe udzielone z budżetu Gminy Barlinek na zadania własne gminy realizowane przez podmioty nienależące do sektora finansów publicznych w 2010 r.</t>
  </si>
  <si>
    <t xml:space="preserve">Dotacja celowa z  budżetu na finansowanie lub dofinansowanie zadań zleconych do realizacji stowarzyszeniom </t>
  </si>
  <si>
    <t>Ochrona zdrowia</t>
  </si>
  <si>
    <t>Zwalczanie narkomanii</t>
  </si>
  <si>
    <t xml:space="preserve">Dotacja celowa z budżetu na finansowanie lub dofinansowanie zadań zleconych do realizacji stowarzyszeniom </t>
  </si>
  <si>
    <t>Załącznik Nr 28 do projektu uchwały Nr ... Rady Miejskiej w Barlinku z dnia ........grudnia 2009</t>
  </si>
  <si>
    <t>Plan przychodów i wydatków  Gminnego Funduszu Ochrony Środowiska i Gospodarki Wodnej Gminy Barlinek w 2010 r. wg klasyfikacji budżetowej</t>
  </si>
  <si>
    <t xml:space="preserve">Dział      900    Gospodarka Komunalna i Ochrona Środowiska   </t>
  </si>
  <si>
    <t>Rozdział 90011  Fundusz Ochrony Środowiska i Gospodarki Wodnej</t>
  </si>
  <si>
    <t>Lp.</t>
  </si>
  <si>
    <t>I.</t>
  </si>
  <si>
    <t>II.</t>
  </si>
  <si>
    <t>1.</t>
  </si>
  <si>
    <t>Grzywny, mandaty i inne kary pieniężne od osób fizycznych</t>
  </si>
  <si>
    <t>2.</t>
  </si>
  <si>
    <t>3.</t>
  </si>
  <si>
    <t>III.</t>
  </si>
  <si>
    <t>4210</t>
  </si>
  <si>
    <t>4260</t>
  </si>
  <si>
    <t>4300</t>
  </si>
  <si>
    <t>4430</t>
  </si>
  <si>
    <t>IV.</t>
  </si>
  <si>
    <t>Załącznik Nr 29 do projektu uchwały Nr .Rady Miejskiej w Barlinku z dnia ........grudnia 2009</t>
  </si>
  <si>
    <t>Plan przychodów i wydatków  Gminnego Funduszu Ochrony Środowiska i Gospodarki Wodnej Gminy Barlinek w 2010 r. w układzie zadaniowym</t>
  </si>
  <si>
    <t>Dział 900   Rozdział 90011</t>
  </si>
  <si>
    <t>Przewidywane wpływy za korzystanie ze środowiska</t>
  </si>
  <si>
    <t>Przewidywane wpływy z tytułu kar i grzywien</t>
  </si>
  <si>
    <t>Odsetki bankowe</t>
  </si>
  <si>
    <t>1.Edukacja ekologiczne i propagowanie działań proekologicznych (konkursy, nagrody, materiały szkoleniowe, Sprzątanie świata</t>
  </si>
  <si>
    <t>2.Gospodarka wodno – ściekowa</t>
  </si>
  <si>
    <t>a) melioracje – konserwacja rowów stanowiących własność gminy</t>
  </si>
  <si>
    <t>b) konserwacja, naprawa nadzór aeratora na jeziorze Barlineckim</t>
  </si>
  <si>
    <t xml:space="preserve">c) opieka nad dzikim ptactwem na jeziorze Barlineckim  (dokarmiani, leczenie, budki lęgowe) </t>
  </si>
  <si>
    <t>d) dofinansowanie wywozu ścieków (Stara Dziedzina)</t>
  </si>
  <si>
    <t>e) utrzymanie kanalizacji deszczowej w Mostkowie, refundacja opłat</t>
  </si>
  <si>
    <t>f) opłaty na rzecz ochrony środowiska – kanaliza deszczowa – Przedsiębiorstwo Wodociągowo-Kanalizacyjne „Płonia” sp. zoo</t>
  </si>
  <si>
    <t>3.Wydatki różne</t>
  </si>
  <si>
    <t>a) dofinansowanie programu usuwania azbestu przez osoby fizyczne</t>
  </si>
  <si>
    <t>b)monitoring i utrzymanie czystości terenów Strąpie, Rychnów</t>
  </si>
  <si>
    <t>Załącznik Nr 30 do projektu uchwały nr   Rady Miejskiej w Barlinku z dnia ........grudnia 2009</t>
  </si>
  <si>
    <t>Przychody i rozchody
budżetu Gminy Barlinek
w 2010 r.</t>
  </si>
  <si>
    <t>Treść</t>
  </si>
  <si>
    <t>Klasyfikacja
§</t>
  </si>
  <si>
    <t>Kwota
2010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</si>
  <si>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</si>
  <si>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</si>
  <si>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</si>
  <si>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</si>
  <si>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</si>
  <si>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</si>
  <si>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</si>
  <si>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</si>
  <si>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</si>
  <si>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</si>
  <si>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</si>
  <si>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</si>
  <si>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</si>
  <si>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</si>
  <si>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</si>
  <si>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</si>
  <si>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</si>
  <si>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</si>
  <si>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</si>
  <si>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</si>
  <si>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</si>
  <si>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</si>
  <si>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</si>
  <si>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</si>
  <si>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</si>
  <si>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</si>
  <si>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</si>
  <si>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</si>
  <si>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</si>
  <si>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</si>
  <si>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</si>
  <si>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</si>
  <si>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</si>
  <si>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</si>
  <si>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</si>
  <si>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31 do projektu uchwały Nr ......... Rady Miejskiej w Barlinku z dnia ........grudnia 2009</t>
  </si>
  <si>
    <t>Wydatki jednostek pomocniczych
w ramach budżetu budżetu Gminy Barlinek w 2010 r.</t>
  </si>
  <si>
    <t>Jednostka pomocnicza</t>
  </si>
  <si>
    <t xml:space="preserve">Plan wydatków
ogółem
</t>
  </si>
  <si>
    <t>Fundusz sołecki</t>
  </si>
  <si>
    <t>Pozostałe wydatki</t>
  </si>
  <si>
    <t>Dziedzice</t>
  </si>
  <si>
    <t>Dzikowo</t>
  </si>
  <si>
    <t>Dzikówko</t>
  </si>
  <si>
    <t>Jarząbki</t>
  </si>
  <si>
    <t>Krzynka</t>
  </si>
  <si>
    <t>Lutówko</t>
  </si>
  <si>
    <t>Łubianka</t>
  </si>
  <si>
    <t>Moczkowo</t>
  </si>
  <si>
    <t>Moczydło</t>
  </si>
  <si>
    <t>Mostkowo</t>
  </si>
  <si>
    <t>Osina</t>
  </si>
  <si>
    <t>Ożar</t>
  </si>
  <si>
    <t>Płonno</t>
  </si>
  <si>
    <t>Rychnów</t>
  </si>
  <si>
    <t>Strąpie</t>
  </si>
  <si>
    <t>Swadzim</t>
  </si>
  <si>
    <t>Żydowo</t>
  </si>
  <si>
    <t>Załącznik Nr 32 do projektu  Uchwały  Rady Miejskiej w Barlinku z dnia .......  2009</t>
  </si>
  <si>
    <t>Limity wydatków Gminy Barlinek na wieloletnie programy inwestycyjne w latach 2010 i kolejnych.</t>
  </si>
  <si>
    <t>Rozdz.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</si>
  <si>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</si>
  <si>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</si>
  <si>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</si>
  <si>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</si>
  <si>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</si>
  <si>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</si>
  <si>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rozpoczęcia.</t>
  </si>
  <si>
    <t>Rok zakończenia.</t>
  </si>
  <si>
    <t>po roku 2012</t>
  </si>
  <si>
    <t>9.</t>
  </si>
  <si>
    <t>10.</t>
  </si>
  <si>
    <t>11.</t>
  </si>
  <si>
    <t>12.</t>
  </si>
  <si>
    <t>13.</t>
  </si>
  <si>
    <t>Zaopatrzenie w wodę pitną mieszkańców gminy Barlinek - wg planu rozwoju sieci Przedsiębiorstwo Wodociągowo-Kanalizacyjne  "Płonia". sp. zoo</t>
  </si>
  <si>
    <t>Przedsiębiorstwo Wodociągowo 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</si>
  <si>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</si>
  <si>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</si>
  <si>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</si>
  <si>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</si>
  <si>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</si>
  <si>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</si>
  <si>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sieci wodociągowej ulicy Fabrycznej w Barlinku.</t>
  </si>
  <si>
    <t>Gmina Barlinek</t>
  </si>
  <si>
    <t xml:space="preserve">inne środki </t>
  </si>
  <si>
    <t>4</t>
  </si>
  <si>
    <t>Przebudowa drogi wojewódzkiej Nr 156 na odcinku Mostkowo-Barlinek planowanego do realizacji przez Województwo Zachodniopomorskie</t>
  </si>
  <si>
    <t>5</t>
  </si>
  <si>
    <t>Przebudowa dróg gminnych.</t>
  </si>
  <si>
    <t>zał nr 1</t>
  </si>
  <si>
    <t>6</t>
  </si>
  <si>
    <t>Budowa ścieżki rowerowej z Barlinka do Krzynki.</t>
  </si>
  <si>
    <t>7</t>
  </si>
  <si>
    <t>Przebudowa drogi gminnej w Mostkowie</t>
  </si>
  <si>
    <t>8</t>
  </si>
  <si>
    <t>Modernizacja drogi wewnętrznej w Rychnowie</t>
  </si>
  <si>
    <t>załącznik Nr 32</t>
  </si>
  <si>
    <t>9</t>
  </si>
  <si>
    <t>Uporządkowanie gospodarki ściekowej na terenie aglomeracji Barlinek i Mostkowo – Gmina Barlinek</t>
  </si>
  <si>
    <t xml:space="preserve">Przedsiębiorstwo Wodociągowo- Kanalizacyjne „Płonia” </t>
  </si>
  <si>
    <t>10</t>
  </si>
  <si>
    <t>Budowa sieci kanalizacyjnej ulicy Fabrycznej w Barlinku.</t>
  </si>
  <si>
    <t>12</t>
  </si>
  <si>
    <t>Zagospodarowanie parku wraz z przebudową budynku na świetlicę w Dzikowie</t>
  </si>
  <si>
    <t>13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</si>
  <si>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</si>
  <si>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</si>
  <si>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14</t>
  </si>
  <si>
    <t>Biblioteka miejska w Barlinku- zmiana sposobu użytkowanie budynku przy ul.Gorzowskiej</t>
  </si>
  <si>
    <t>15</t>
  </si>
  <si>
    <t>Przebudowa boiska piłkarskiego wraz z zapleczem techniczno -socjalnym przy ul. Sportowej w Barlinku</t>
  </si>
  <si>
    <t xml:space="preserve">środki UE* </t>
  </si>
  <si>
    <t>środki BP**</t>
  </si>
  <si>
    <t>śr. własne</t>
  </si>
  <si>
    <t>środki gminy</t>
  </si>
  <si>
    <t>fundusz***</t>
  </si>
  <si>
    <t>śr. jednostki real.****</t>
  </si>
  <si>
    <t>pożyczka/kredyt</t>
  </si>
  <si>
    <t>Załącznik Nr 33 do projektu  Uchwały  Rady Miejskiej w Barlinku z dnia .......  2009</t>
  </si>
  <si>
    <t>Limity wydatków  Gminy Barlinek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</si>
  <si>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</si>
  <si>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</si>
  <si>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</si>
  <si>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</si>
  <si>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</si>
  <si>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</si>
  <si>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</si>
  <si>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</si>
  <si>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</si>
  <si>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Wodociągowo - Kanalizacyjne  "Płonia". sp. Zoo</t>
  </si>
  <si>
    <t>środki UE</t>
  </si>
  <si>
    <t>Program Rozwoju Obszarów Wiejskich na lata 2007-2013.</t>
  </si>
  <si>
    <t>3</t>
  </si>
  <si>
    <t>Regionalny Program Operacyjny Województwa Zachodniopomorskiego na lata 2007-2013.</t>
  </si>
  <si>
    <t>Program Operacyjny Infrastruktura i Środowisko</t>
  </si>
  <si>
    <t>Zagospodarowanie parku w Dzikowie wraz z remontem świetlicy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</si>
  <si>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</si>
  <si>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</si>
  <si>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</si>
  <si>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PROJEKT</t>
  </si>
  <si>
    <t xml:space="preserve">                                                     UCHWAŁA NR  /2009                                                                                                                            </t>
  </si>
  <si>
    <t xml:space="preserve">Rady Miejskiej w Barlinku </t>
  </si>
  <si>
    <t xml:space="preserve">z dnia ...........grudnia 2009 r. </t>
  </si>
  <si>
    <t>w sprawie uchwalenia budżetu Gminy Barlinek na 2010 rok</t>
  </si>
  <si>
    <t>Na podstawie art. 18 ust. 2 pkt. 4, pkt. 9 lit. „d” oraz lit. „i” ustawy z dnia 8 marca 1990 r. o samorządzie gminnym  (Dz U z  2001 r. Nr 142, poz. 1591 ze zmianami),  oraz art. 86 ust. 1, art. 165, art. 184 i art. 188 ust. 2 ustawy z dnia 30 czerwca 2005 r. o finansach publicznych, (Dz. U. Nr 249, poz. 2104, ze zmianami), uchwala się co następuje:</t>
  </si>
  <si>
    <t xml:space="preserve">§ 1. Ustala się dochody budżetu Gminy ( załącznik Nr 1) w wysokości: </t>
  </si>
  <si>
    <t xml:space="preserve">w tym: </t>
  </si>
  <si>
    <t xml:space="preserve">1. dochody bieżące            </t>
  </si>
  <si>
    <t xml:space="preserve">2. dochody majątkowe              </t>
  </si>
  <si>
    <t>w tym dochody związane z realizacją :</t>
  </si>
  <si>
    <r>
      <t>1) za</t>
    </r>
    <r>
      <rPr>
        <sz val="13"/>
        <rFont val="Times New Roman"/>
        <family val="1"/>
      </rPr>
      <t>dań z zakresu administracji rządowej i innych zleconych jednostce samorządu terytorialnego odrębnymi ustawami, zgodnie z załącznikiem Nr 3,</t>
    </r>
  </si>
  <si>
    <r>
      <t xml:space="preserve">2) </t>
    </r>
    <r>
      <rPr>
        <sz val="13"/>
        <rFont val="Times New Roman"/>
        <family val="1"/>
      </rPr>
      <t>zadań wykonywanych na mocy porozumień z organami administracji rządowej, zgodnie z załącznikiem Nr 4,</t>
    </r>
  </si>
  <si>
    <r>
      <t xml:space="preserve">§ 2. </t>
    </r>
    <r>
      <rPr>
        <b/>
        <sz val="13"/>
        <rFont val="Times New Roman"/>
        <family val="1"/>
      </rPr>
      <t xml:space="preserve">Ustala się wydatki budżetu Gminy  (załącznik Nr 6 ) </t>
    </r>
    <r>
      <rPr>
        <b/>
        <sz val="13"/>
        <color indexed="8"/>
        <rFont val="Times New Roman"/>
        <family val="1"/>
      </rPr>
      <t>w wysokości:</t>
    </r>
    <r>
      <rPr>
        <b/>
        <sz val="13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</t>
    </r>
  </si>
  <si>
    <t>w tym:</t>
  </si>
  <si>
    <t xml:space="preserve">1. wydatki bieżące            </t>
  </si>
  <si>
    <t xml:space="preserve">2. wydatki majątkowe  ( załącznik nr 11 )                       </t>
  </si>
  <si>
    <t>w tym wydatki związane z realizacją :</t>
  </si>
  <si>
    <r>
      <t>1) za</t>
    </r>
    <r>
      <rPr>
        <sz val="13"/>
        <rFont val="Times New Roman"/>
        <family val="1"/>
      </rPr>
      <t>dań z zakresu administracji rządowej i innych zleconych jednostce samorządu terytorialnego odrębnymi ustawami, zgodnie z załącznikiem Nr 8,</t>
    </r>
  </si>
  <si>
    <r>
      <t xml:space="preserve">2) </t>
    </r>
    <r>
      <rPr>
        <sz val="13"/>
        <rFont val="Times New Roman"/>
        <family val="1"/>
      </rPr>
      <t>zadań wykonywanych na mocy porozumień z organami administracji rządowej, zgodnie z załącznikiem Nr 9,</t>
    </r>
  </si>
  <si>
    <r>
      <t xml:space="preserve">§ 3.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Ustala się planowany deficyt budżetu Gminy,  który zostanie pokryty przychodami pochodzącymi z zaciągniętych kredytów lub emisji obligacji oraz spłat udzielonych pożyczek w wysokości:</t>
    </r>
  </si>
  <si>
    <r>
      <t xml:space="preserve">§ 4.  </t>
    </r>
    <r>
      <rPr>
        <sz val="13"/>
        <rFont val="Times New Roman"/>
        <family val="1"/>
      </rPr>
      <t xml:space="preserve">Ustala się przychody budżetu Gminy ( załącznik Nr 30 ) w wysokości         </t>
    </r>
    <r>
      <rPr>
        <b/>
        <sz val="13"/>
        <rFont val="Times New Roman"/>
        <family val="1"/>
      </rPr>
      <t xml:space="preserve">                       </t>
    </r>
  </si>
  <si>
    <r>
      <t>1)</t>
    </r>
    <r>
      <rPr>
        <sz val="13"/>
        <rFont val="Times New Roman"/>
        <family val="1"/>
      </rPr>
      <t xml:space="preserve"> z kredytów lub emisji obligacji (§ 952 lub § 931)     </t>
    </r>
    <r>
      <rPr>
        <sz val="11"/>
        <rFont val="Times New Roman"/>
        <family val="1"/>
      </rPr>
      <t xml:space="preserve">                                          </t>
    </r>
  </si>
  <si>
    <r>
      <t>2)</t>
    </r>
    <r>
      <rPr>
        <sz val="13"/>
        <rFont val="Times New Roman"/>
        <family val="1"/>
      </rPr>
      <t xml:space="preserve"> z nadwyżki budżetowej z lat ubiegłych (§ 957)                                                        </t>
    </r>
  </si>
  <si>
    <r>
      <t xml:space="preserve">3) </t>
    </r>
    <r>
      <rPr>
        <sz val="13"/>
        <rFont val="Times New Roman"/>
        <family val="1"/>
      </rPr>
      <t xml:space="preserve">ze spłaty pożyczek udzielonych (§ 951)   </t>
    </r>
    <r>
      <rPr>
        <sz val="11"/>
        <rFont val="Times New Roman"/>
        <family val="1"/>
      </rPr>
      <t xml:space="preserve">                                                                     </t>
    </r>
  </si>
  <si>
    <r>
      <t xml:space="preserve">4) </t>
    </r>
    <r>
      <rPr>
        <sz val="13"/>
        <rFont val="Times New Roman"/>
        <family val="1"/>
      </rPr>
      <t>wolnych środków, jako nadwyżki środków pieniężnych na rachunku bieżącym budżetu, wynikających z rozliczeń wyemitowanych papierów wartościowych, kredytów i pożyczek z lat ubiegłych</t>
    </r>
  </si>
  <si>
    <r>
      <t xml:space="preserve">§ 5. </t>
    </r>
    <r>
      <rPr>
        <sz val="13"/>
        <rFont val="Times New Roman"/>
        <family val="1"/>
      </rPr>
      <t xml:space="preserve">Ustala się rozchody budżetu Gminy  ( załącznik Nr 30 ) w wysokości  z przeznaczeniem na:      </t>
    </r>
    <r>
      <rPr>
        <b/>
        <sz val="13"/>
        <rFont val="Times New Roman"/>
        <family val="1"/>
      </rPr>
      <t xml:space="preserve">      </t>
    </r>
    <r>
      <rPr>
        <sz val="13"/>
        <rFont val="Times New Roman"/>
        <family val="1"/>
      </rPr>
      <t xml:space="preserve">        </t>
    </r>
    <r>
      <rPr>
        <sz val="11"/>
        <rFont val="Times New Roman"/>
        <family val="1"/>
      </rPr>
      <t xml:space="preserve">               </t>
    </r>
  </si>
  <si>
    <t>1) spłatę rat kredytu dla Gospodarczego Banku Spółdzielczego w Barlinku w wysokości (§ 992);</t>
  </si>
  <si>
    <t xml:space="preserve">2) spłatę rat kredytu dla Banku Gospodarstwa Krajowego w Szczecinie  (§ 992); </t>
  </si>
  <si>
    <r>
      <t>§ 6.</t>
    </r>
    <r>
      <rPr>
        <b/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W budżecie tworzy się rezerwy:</t>
    </r>
  </si>
  <si>
    <t xml:space="preserve">1) ogólną w wysokości </t>
  </si>
  <si>
    <t>2) celową w kwocie z przeznaczeniem na: realizację zadań z zakresu zarządzania kryzysowego</t>
  </si>
  <si>
    <r>
      <t xml:space="preserve">§ 7. </t>
    </r>
    <r>
      <rPr>
        <sz val="13"/>
        <color indexed="8"/>
        <rFont val="Times New Roman"/>
        <family val="1"/>
      </rPr>
      <t>Ustala się wydatki jednostek pomocniczych</t>
    </r>
    <r>
      <rPr>
        <sz val="14"/>
        <color indexed="8"/>
        <rFont val="Times New Roman"/>
        <family val="1"/>
      </rPr>
      <t xml:space="preserve"> w wysokości:</t>
    </r>
  </si>
  <si>
    <r>
      <t xml:space="preserve">1) </t>
    </r>
    <r>
      <rPr>
        <sz val="13"/>
        <rFont val="Times New Roman"/>
        <family val="1"/>
      </rPr>
      <t xml:space="preserve">w ramach funduszu sołeckiego </t>
    </r>
    <r>
      <rPr>
        <sz val="13"/>
        <color indexed="8"/>
        <rFont val="Times New Roman"/>
        <family val="1"/>
      </rPr>
      <t xml:space="preserve"> (załącznik Nr 31)</t>
    </r>
  </si>
  <si>
    <r>
      <t xml:space="preserve">2) </t>
    </r>
    <r>
      <rPr>
        <sz val="13"/>
        <rFont val="Times New Roman"/>
        <family val="1"/>
      </rPr>
      <t>w ramach pozostałych wydatków</t>
    </r>
  </si>
  <si>
    <r>
      <t>§ 8.</t>
    </r>
    <r>
      <rPr>
        <sz val="13"/>
        <color indexed="8"/>
        <rFont val="Times New Roman"/>
        <family val="1"/>
      </rPr>
      <t xml:space="preserve"> Ustala się dochody i wydatki: </t>
    </r>
  </si>
  <si>
    <t>1) dochody z tytułu wydawania zezwoleń na sprzedaż napojów alkoholowych</t>
  </si>
  <si>
    <t>2) wydatki na realizację zadań określonych w gminnym programie profilaktyki i rozwiązywania problemów alkoholowych.</t>
  </si>
  <si>
    <t>3) wydatki na realizację zadań określonych w gminnym programie przeciwdziałania narkomanii</t>
  </si>
  <si>
    <r>
      <t>§ 9. </t>
    </r>
    <r>
      <rPr>
        <sz val="13"/>
        <color indexed="8"/>
        <rFont val="Times New Roman"/>
        <family val="1"/>
      </rPr>
      <t>Ustala się limity wydatków na wieloletnie programy:</t>
    </r>
  </si>
  <si>
    <r>
      <t xml:space="preserve">1) inwestycyjne w latach 2010-2012 </t>
    </r>
    <r>
      <rPr>
        <sz val="13"/>
        <rFont val="Times New Roman"/>
        <family val="1"/>
      </rPr>
      <t>(Załącznik Nr 32)</t>
    </r>
    <r>
      <rPr>
        <sz val="13"/>
        <color indexed="8"/>
        <rFont val="Times New Roman"/>
        <family val="1"/>
      </rPr>
      <t xml:space="preserve"> </t>
    </r>
  </si>
  <si>
    <r>
      <t xml:space="preserve">2) realizowane ze środków pochodzących z budżetu Unii Europejskiej, niepodlegających zwrotowi środków z pomocy udzielanej przez państwa członkowskie (EFTA) oraz innych  środków pochodzących ze źródeł zagranicznych, niepodlegających zwrotowi w wysokości </t>
    </r>
    <r>
      <rPr>
        <sz val="13"/>
        <rFont val="Times New Roman"/>
        <family val="1"/>
      </rPr>
      <t>(załącznik Nr 33)</t>
    </r>
  </si>
  <si>
    <r>
      <t>§ 10.</t>
    </r>
    <r>
      <rPr>
        <sz val="13"/>
        <color indexed="8"/>
        <rFont val="Times New Roman"/>
        <family val="1"/>
      </rPr>
      <t xml:space="preserve"> Upoważnia się Burmistrza Barlinka do zaciągania zobowiązań na finansowanie wydatków na wieloletnie programy:</t>
    </r>
  </si>
  <si>
    <t>1) inwestycyjne w latach 2010-2012  ujęte w załączniku Nr 32 do uchwały,</t>
  </si>
  <si>
    <t>2) realizowane ze środków pochodzących z budżetu Unii Europejskiej, niepodlegających zwrotowi środków z pomocy udzielanej przez państwa członkowskie (EFTA) oraz innych  środków pochodzących ze źródeł zagranicznych ujętych w załączniku Nr 33 do uchwały.</t>
  </si>
  <si>
    <r>
      <t>§ 11.</t>
    </r>
    <r>
      <rPr>
        <sz val="13"/>
        <rFont val="Times New Roman"/>
        <family val="1"/>
      </rPr>
      <t xml:space="preserve"> Ustala się plany przychodów i wydatków rachunków dochodów własnych jednostek budżetowych, zgodnie z załącznikiem Nr 23.</t>
    </r>
  </si>
  <si>
    <r>
      <t xml:space="preserve">§ 12. </t>
    </r>
    <r>
      <rPr>
        <sz val="13"/>
        <rFont val="Times New Roman"/>
        <family val="1"/>
      </rPr>
      <t>Ustala się plany wydatków szkół podstawowych, zgodnie z załącznikami Nr 15, 16, 17</t>
    </r>
  </si>
  <si>
    <r>
      <t xml:space="preserve">§ 13. </t>
    </r>
    <r>
      <rPr>
        <sz val="13"/>
        <rFont val="Times New Roman"/>
        <family val="1"/>
      </rPr>
      <t xml:space="preserve">Ustala się plany wydatków przedszkoli miejskich, zgodnie z załącznikami Nr 18, 19.  </t>
    </r>
  </si>
  <si>
    <r>
      <t xml:space="preserve">§ 14. </t>
    </r>
    <r>
      <rPr>
        <sz val="13"/>
        <rFont val="Times New Roman"/>
        <family val="1"/>
      </rPr>
      <t xml:space="preserve">Ustala się plany wydatków gimnazjów, zgodnie z załącznikami Nr 20, 21, 22.  </t>
    </r>
  </si>
  <si>
    <r>
      <t>§ 15.</t>
    </r>
    <r>
      <rPr>
        <sz val="13"/>
        <rFont val="Times New Roman"/>
        <family val="1"/>
      </rPr>
      <t xml:space="preserve"> Ustala się plan przychodów i wydatków Gminnego Funduszu Ochrony Środowiska  i Gospodarki Wodnej:</t>
    </r>
  </si>
  <si>
    <r>
      <t>1/</t>
    </r>
    <r>
      <rPr>
        <sz val="13"/>
        <rFont val="Times New Roman"/>
        <family val="1"/>
      </rPr>
      <t xml:space="preserve">  w układzie zadaniowym, zgodnie z załącznikiem Nr 29;</t>
    </r>
  </si>
  <si>
    <r>
      <t>2/</t>
    </r>
    <r>
      <rPr>
        <sz val="13"/>
        <rFont val="Times New Roman"/>
        <family val="1"/>
      </rPr>
      <t xml:space="preserve">  w układzie klasyfikacji budżetowej, zgodnie z załącznikiem Nr 28.</t>
    </r>
  </si>
  <si>
    <r>
      <t>§ 16.</t>
    </r>
    <r>
      <rPr>
        <sz val="13"/>
        <rFont val="Times New Roman"/>
        <family val="1"/>
      </rPr>
      <t xml:space="preserve"> Ustala   się   dotację   dla   Barlineckiego   Ośrodka   Kultury  (art. 28,  ust. 2  ustawy o organizowaniu i prowadzeniu działalności kulturalnej), przeznaczoną na bieżącą działalność  w wysokości </t>
    </r>
  </si>
  <si>
    <r>
      <t xml:space="preserve">§ 17. </t>
    </r>
    <r>
      <rPr>
        <sz val="13"/>
        <rFont val="Times New Roman"/>
        <family val="1"/>
      </rPr>
      <t>Zestawienie dotacji przekazanych z budżetu Gminy na zadania publiczne realizowane przez jednostki finansów publicznych  załączniki  Nr 24, 26.</t>
    </r>
  </si>
  <si>
    <r>
      <t xml:space="preserve">§ 18. </t>
    </r>
    <r>
      <rPr>
        <sz val="13"/>
        <rFont val="Times New Roman"/>
        <family val="1"/>
      </rPr>
      <t>Zestawienie dotacji przekazanych z budżetu Gminy na zadania publiczne realizowane przez i jednostki spoza sektora finansów publicznych, załączniki  Nr 25, 27.</t>
    </r>
  </si>
  <si>
    <r>
      <t>§ 19.</t>
    </r>
    <r>
      <rPr>
        <sz val="13"/>
        <color indexed="8"/>
        <rFont val="Times New Roman"/>
        <family val="1"/>
      </rPr>
      <t xml:space="preserve"> Ustala się limity zobowiązań z tytułu zaciąganych kredytów i pożyczek oraz emitowanych papierów wartościowych na:</t>
    </r>
  </si>
  <si>
    <t>1) pokrycie występującego w ciągu roku przejściowego deficytu budżetu jednostki samorządu terytorialnego, do kwoty</t>
  </si>
  <si>
    <t>2) finansowanie planowanego deficytu budżetu jednostki samorządu terytorialnego, do kwoty</t>
  </si>
  <si>
    <t>3) spłatę wcześniej zaciągniętych zobowiązań z tytułu emisji papierów wartościowych oraz zaciągniętych pożyczek i kredytów, do kwoty</t>
  </si>
  <si>
    <r>
      <t>§ 20.</t>
    </r>
    <r>
      <rPr>
        <sz val="13"/>
        <color indexed="8"/>
        <rFont val="Times New Roman"/>
        <family val="1"/>
      </rPr>
      <t xml:space="preserve"> Upoważnia się Burmistrza Barlinka do zaciągania kredytów i pożyczek oraz emitowania papierów wartościowych, o których mowa w § 19 pkt 1 do wysokości w nim określonej.</t>
    </r>
  </si>
  <si>
    <r>
      <t>§ 21.</t>
    </r>
    <r>
      <rPr>
        <sz val="13"/>
        <color indexed="8"/>
        <rFont val="Times New Roman"/>
        <family val="1"/>
      </rPr>
      <t xml:space="preserve"> Upoważnia się Burmistrza Barlinka do: </t>
    </r>
  </si>
  <si>
    <t xml:space="preserve">1) przekazania jednostkom organizacyjnym gminy uprawnień do przenoszenia kwot planowanych wydatków budżetowych oraz w planie dochodów własnych i wydatków nimi finansowanych,  między paragrafami tego samego rozdziału klasyfikacji budżetowej z wyłączeniem wydatków na wynagrodzenia; </t>
  </si>
  <si>
    <t>2) dokonywania zmian w planie wydat_x001F_ków na wynagrodzenia,  majątkowych z wyłączeniem przeniesień wydatków między działami,</t>
  </si>
  <si>
    <t>3) zaciągania zobowiązań z tytułu umów, których realizacja w roku następnym jest niezbędna dla zapewnienia ciągłości działania jednostki i termin zapłaty upływa w roku następnym;</t>
  </si>
  <si>
    <t>4) przekazania uprawnień innym jednost_x001F_kom organizacyjnym jednostki samorządu te_x001F_terytorialnego do zaciągania zobowiązań z ty_x001F_tułu umów, których realizacja w roku następ_x001F_nym jest niezbędna dla zapewnienia ciągłości działania jednostki i termin zapłaty upływa w roku następnym.</t>
  </si>
  <si>
    <r>
      <t xml:space="preserve">5) </t>
    </r>
    <r>
      <rPr>
        <sz val="12"/>
        <rFont val="Times New Roman"/>
        <family val="1"/>
      </rPr>
      <t>zaciągnięcia długoterminowego kredytu lub emisji  obligacji gminnych na sfinansowanie</t>
    </r>
    <r>
      <rPr>
        <sz val="12"/>
        <rFont val="Arial CE"/>
        <family val="1"/>
      </rPr>
      <t xml:space="preserve"> </t>
    </r>
    <r>
      <rPr>
        <sz val="12"/>
        <rFont val="Times New Roman"/>
        <family val="1"/>
      </rPr>
      <t>przychodów budżetu  o których mowa w § 4 pkt. 1 uchwały</t>
    </r>
  </si>
  <si>
    <t>6) udzielania poręczeń w roku budżetowym do wysokości 1.000.000 zł, oraz pożyczek do kwoty 150.000 zł, gminnym jednostkom organizacyjnym;</t>
  </si>
  <si>
    <r>
      <t xml:space="preserve">7) udzielania zaliczek dla pracowników Urzędu Miejskiego i sołtysów na zakup towarów i usług oraz na wyjazdy służbowe. </t>
    </r>
    <r>
      <rPr>
        <b/>
        <sz val="13"/>
        <rFont val="Times New Roman"/>
        <family val="1"/>
      </rPr>
      <t xml:space="preserve"> </t>
    </r>
  </si>
  <si>
    <r>
      <t>§ 22.</t>
    </r>
    <r>
      <rPr>
        <sz val="13"/>
        <rFont val="Times New Roman"/>
        <family val="1"/>
      </rPr>
      <t xml:space="preserve"> Wykonanie uchwały powierza się Burmistrzowi Barlinka.</t>
    </r>
  </si>
  <si>
    <r>
      <t>§ 23</t>
    </r>
    <r>
      <rPr>
        <sz val="13"/>
        <rFont val="Times New Roman"/>
        <family val="1"/>
      </rPr>
      <t xml:space="preserve">. Uchwała wchodzi w życie z dniem 1 stycznia 2010 roku i podlega ogłoszeniu w Dzienniku Urzędowym Województwa Zachodniopomorskiego.  </t>
    </r>
  </si>
  <si>
    <t>Załącznik Nr 1 do projektu uchwały Nr  Rady Miejskiej w Barlinku z dnia ........grudnia 2009</t>
  </si>
  <si>
    <t>Dochody budżetu Gminy na 2010 rok wg działów klasyfikacji budżetowej</t>
  </si>
  <si>
    <t>w złotych</t>
  </si>
  <si>
    <t>Dział</t>
  </si>
  <si>
    <t>Nazwa działu</t>
  </si>
  <si>
    <t>Kwota</t>
  </si>
  <si>
    <t>600</t>
  </si>
  <si>
    <t>700</t>
  </si>
  <si>
    <t>710</t>
  </si>
  <si>
    <t>750</t>
  </si>
  <si>
    <t>756</t>
  </si>
  <si>
    <t>758</t>
  </si>
  <si>
    <t>801</t>
  </si>
  <si>
    <t>852</t>
  </si>
  <si>
    <t>900</t>
  </si>
  <si>
    <t>921</t>
  </si>
  <si>
    <t>926</t>
  </si>
  <si>
    <t>Ogółem</t>
  </si>
  <si>
    <t>w tym</t>
  </si>
  <si>
    <t>dochody bieżące</t>
  </si>
  <si>
    <t>dochody majątkowe</t>
  </si>
  <si>
    <t>Załącznik Nr 2 do projektu uchwały Nr .Rady Miejskiej w Barlinku z dnia ........grudnia 2009</t>
  </si>
  <si>
    <t>Dochody
budżetu Gminy Barlinek w 2010 r.</t>
  </si>
  <si>
    <t>Dochody własne</t>
  </si>
  <si>
    <t>Rozdział</t>
  </si>
  <si>
    <t>§</t>
  </si>
  <si>
    <t>Źródła dochodów</t>
  </si>
  <si>
    <t xml:space="preserve">Plan
</t>
  </si>
  <si>
    <t>z tego:</t>
  </si>
  <si>
    <t>Dochody
bieżące</t>
  </si>
  <si>
    <t>Dochody
majątkowe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</si>
  <si>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</si>
  <si>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</si>
  <si>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</si>
  <si>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</si>
  <si>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</si>
  <si>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</si>
  <si>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>Transport  i  łączność</t>
  </si>
  <si>
    <t>Drogi publiczne gminne</t>
  </si>
  <si>
    <t>2708</t>
  </si>
  <si>
    <t>Środki na dofinansowanie własnych zadań bieżących gmin (związków gmin), powiatów (związków powiatów), samorządów województw, pozyskane z innych źródeł</t>
  </si>
  <si>
    <t>6220</t>
  </si>
  <si>
    <t>Dotacja celowe otrzymane  z budżetu na finansowanie lub dofinansowanie kosztów realizacji inwestycji i zakupów inwestycyjnych jednostek sektora finansów publicznych</t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</si>
  <si>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</si>
  <si>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</si>
  <si>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</si>
  <si>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</si>
  <si>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 xml:space="preserve"> Dochody z najmu i dzierżawy składników majątkowych Skarbu Państwa,  j.s.t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</si>
  <si>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</si>
  <si>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</si>
  <si>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</si>
  <si>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</si>
  <si>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0920 </t>
  </si>
  <si>
    <t xml:space="preserve"> Pozostałe odsetki</t>
  </si>
  <si>
    <t>załącznik nr 2</t>
  </si>
  <si>
    <t xml:space="preserve">Działalność usługowa </t>
  </si>
  <si>
    <t>Cmentarze</t>
  </si>
  <si>
    <t xml:space="preserve"> Dochody z najmu i dzierżawy składników majątkowych Skarbu Państwa,  j.s.t lub innych jednostek zaliczanych do sektora finansów publicznych oraz innych umów o podobnym charakterze
</t>
  </si>
  <si>
    <t>Administracja  publiczna</t>
  </si>
  <si>
    <t>Urzędy Wojewódzkie</t>
  </si>
  <si>
    <r>
      <t xml:space="preserve"> Dochody jednostek samorządu terytorialnego związane z realizacją zadań </t>
    </r>
    <r>
      <rPr>
        <sz val="12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</si>
  <si>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</si>
  <si>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>0570</t>
  </si>
  <si>
    <t xml:space="preserve">  Grzywny, mandaty i inne kary pieniężne od osób fizycznych  </t>
  </si>
  <si>
    <t xml:space="preserve">0830 </t>
  </si>
  <si>
    <t xml:space="preserve"> Wpływy z usług</t>
  </si>
  <si>
    <t>0840</t>
  </si>
  <si>
    <t xml:space="preserve"> Wpływy ze sprzedaży wyrobów  </t>
  </si>
  <si>
    <t xml:space="preserve">
</t>
  </si>
  <si>
    <t xml:space="preserve">0920
</t>
  </si>
  <si>
    <t xml:space="preserve">  Pozostałe odsetki 
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</si>
  <si>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</si>
  <si>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</si>
  <si>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</si>
  <si>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</si>
  <si>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</si>
  <si>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</si>
  <si>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</si>
  <si>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</si>
  <si>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</si>
  <si>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</si>
  <si>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</si>
  <si>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</si>
  <si>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</si>
  <si>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</si>
  <si>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</si>
  <si>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</si>
  <si>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</si>
  <si>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</si>
  <si>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>0690</t>
  </si>
  <si>
    <t xml:space="preserve"> Wpływy z różnych opłat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</si>
  <si>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</si>
  <si>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</si>
  <si>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</si>
  <si>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</si>
  <si>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</si>
  <si>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</si>
  <si>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</si>
  <si>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</si>
  <si>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</si>
  <si>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</si>
  <si>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>Wpływy z różnych opłat</t>
  </si>
  <si>
    <t xml:space="preserve">Wpływy z innych opłat stanowiących dochody j.s.t. na podstawie ustaw </t>
  </si>
  <si>
    <t>0410</t>
  </si>
  <si>
    <t xml:space="preserve"> Wpływy z opłaty skarbowej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</si>
  <si>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</si>
  <si>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</si>
  <si>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</si>
  <si>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</si>
  <si>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 xml:space="preserve"> Wpływy z różnych opłat </t>
  </si>
  <si>
    <t>Wpływy z różnych rozliczeń</t>
  </si>
  <si>
    <t>0970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</si>
  <si>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</si>
  <si>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</si>
  <si>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</si>
  <si>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</si>
  <si>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</si>
  <si>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</si>
  <si>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</si>
  <si>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</si>
  <si>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</si>
  <si>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</si>
  <si>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</si>
  <si>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</si>
  <si>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</si>
  <si>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Część równoważąca subwencji ogólnej  dla gmin</t>
  </si>
  <si>
    <t>Zał. Nr 2</t>
  </si>
  <si>
    <t>Oświata  i  wychowanie</t>
  </si>
  <si>
    <t>Szkoły podstawowe</t>
  </si>
  <si>
    <t xml:space="preserve"> Dochody z najmu i dzierżawy składników majątkowych Skarbu Państwa, j.s.t. Lub innych jednostek zaliczanych do sektora finansów publicznych oraz innych umów o podobnym charakterze  </t>
  </si>
  <si>
    <t>6330</t>
  </si>
  <si>
    <t>Dotacje celowe otrzymane z budżetu państwa na realizację inwestycji i zakupów inwestycyjnych własnych gmin /związków gmin/</t>
  </si>
  <si>
    <t>80104</t>
  </si>
  <si>
    <t>Przedszkola</t>
  </si>
  <si>
    <t xml:space="preserve">Dochody z najmu i dzierżawy składników majątkowych Skarbu Państwa, j.s.t. lub innych jednostek zaliczanych do sektora finansów publicznych oraz innych umów o podobnym charakterze  </t>
  </si>
  <si>
    <t>Gimnazja</t>
  </si>
  <si>
    <t xml:space="preserve"> Dochody z najmu i dzierżawy składników majątkowych Skarbu Państwa, j.s.t. lub innych jednostek zaliczanych do sektora finansów publicznych oraz innych umów o podobnym charakterze  </t>
  </si>
  <si>
    <t>Wpływy z różnych dochodów</t>
  </si>
  <si>
    <t>Stołówki szkolne</t>
  </si>
  <si>
    <t>Pomoc  społeczna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</si>
  <si>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</si>
  <si>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</si>
  <si>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Składki na ubezpieczenie zdrowotne opłacane za osoby pobierające niektóre świadczenia z pomocy społecznej oraz niektóre świadczenia rodzinne</t>
  </si>
  <si>
    <t xml:space="preserve"> Dotacje celowe otrzymane z budżetu państwa na realizację własnych zadań bieżących gmin</t>
  </si>
  <si>
    <t>Zasiłki i pomoc w naturze oraz składki na ubezpieczenia emerytalne i rentowe</t>
  </si>
  <si>
    <t>Zasiłki stałe</t>
  </si>
  <si>
    <t>Ośrodki Pomocy Społecznej</t>
  </si>
  <si>
    <t xml:space="preserve"> Wpływy z różnych dochodów</t>
  </si>
  <si>
    <t xml:space="preserve"> Dotacje celowe otrzymane z budżetu państwa na realizację własnych zadań bieżących gmin </t>
  </si>
  <si>
    <t xml:space="preserve">85228
</t>
  </si>
  <si>
    <t>Usługi opiekuńcze i specjalistyczne usługi opiekuńcze</t>
  </si>
  <si>
    <t xml:space="preserve">  Wpływy z usług</t>
  </si>
  <si>
    <t>Gospodarka komunalna i ochrona  środowiska</t>
  </si>
  <si>
    <t>Wpływy i wydatki związane z gromadzeniem środków z opłat produktowych</t>
  </si>
  <si>
    <t xml:space="preserve">0400
</t>
  </si>
  <si>
    <t xml:space="preserve"> Wpływy z opłaty produktowej
</t>
  </si>
  <si>
    <t xml:space="preserve">Kultura  i  ochrona  dziedzictwa  narodowego </t>
  </si>
  <si>
    <t>Domy i ośrodki kultury, świetlice i kluby</t>
  </si>
  <si>
    <t>Wpływy z usług</t>
  </si>
  <si>
    <t>Kultura  fizyczna  i  sport</t>
  </si>
  <si>
    <t>Obiekty sportowe</t>
  </si>
  <si>
    <t>Wpływy z tytułu pomocy finansowej udzielanej między jednostkami samorządu terytorialnego na dofinansowanie własnych zadań inwestycyjnych i zakupów inwestycyjnych</t>
  </si>
  <si>
    <t>Ogółem:</t>
  </si>
  <si>
    <t>Załącznik Nr 3 do projektu uchwały Nr .. Rady Miejskiej w Barlinku z dnia ........grudnia 2009</t>
  </si>
  <si>
    <t>Dochody budżetu Gminy Barlinek związane z realizacją zadań z zakresu administracji rządowej i innych zadań zleconych odrębnymi ustawami w 2010 r.</t>
  </si>
  <si>
    <t>Nazwa</t>
  </si>
  <si>
    <t>Plan</t>
  </si>
  <si>
    <t xml:space="preserve"> Dotacje celowe otrzymane z budżetu państwa na realizację zadań bieżących z zakresu administracji rządowej oraz innych zadań zleconych gminie ustawami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</si>
  <si>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</si>
  <si>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</si>
  <si>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</si>
  <si>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 xml:space="preserve">
</t>
  </si>
  <si>
    <t>Załącznik Nr 4 do projektu uchwały Nr . Rady Gminy w Barlinku z dnia ........grudnia 2009</t>
  </si>
  <si>
    <t>Dochody 
budżetu Gminy Barlinek związane z realizacją zadań z zakresu administracji rządowej wykonywanych na podstawie porozumień z organami administracji rządowej w 2010 r.</t>
  </si>
  <si>
    <t>Działalność usługowa</t>
  </si>
  <si>
    <t xml:space="preserve"> Dotacje celowe otrzymane z budżetu państwa na zadania  bieżące realizowane przez gminę na podstawie porozumień z organami administracji rządowej</t>
  </si>
  <si>
    <t>Załącznik Nr 5 do projektu uchwały Nr .Rady Miejskiej w Barlinku z dnia ........grudnia 2009</t>
  </si>
  <si>
    <t>Środki Unijne</t>
  </si>
  <si>
    <t>Załącznik Nr 6 do projektu uchwały Nr . Rady Gminy w Barlinku z dnia ........grudnia 2009</t>
  </si>
  <si>
    <t>Wydatki budżetu Gminy na 2010 rok wg działów klasyfikacji budżetowej</t>
  </si>
  <si>
    <t>010</t>
  </si>
  <si>
    <t>400</t>
  </si>
  <si>
    <t>754</t>
  </si>
  <si>
    <t>757</t>
  </si>
  <si>
    <t>851</t>
  </si>
  <si>
    <t>854</t>
  </si>
  <si>
    <t>wydatki bieżące</t>
  </si>
  <si>
    <t>wydatki majątkowe</t>
  </si>
  <si>
    <t>Załącznik Nr 7 do projektu uchwały Nr .. Rady Miejskiej w Barlinku z dnia ........grudnia 2009</t>
  </si>
  <si>
    <t>Wydatki
budżetu Gminy Barlinek w 2010 r.</t>
  </si>
  <si>
    <t>Wydatki własne</t>
  </si>
  <si>
    <t xml:space="preserve">Plan </t>
  </si>
  <si>
    <t xml:space="preserve"> 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</si>
  <si>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</si>
  <si>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</si>
  <si>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</si>
  <si>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</si>
  <si>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zwrotowi,w części związanej z realizacją zadań Gminy</t>
  </si>
  <si>
    <t>Wydatki na obsługę długu</t>
  </si>
  <si>
    <t>Wydatki z tytułu poręczeń i gwarancji</t>
  </si>
  <si>
    <t>Wynagrodzenia</t>
  </si>
  <si>
    <t>Pochodne od 
Wynagrodzeń</t>
  </si>
  <si>
    <t>Wydatki związane z realizacją zadań statutowych</t>
  </si>
  <si>
    <t>Rolnictwo i łowiectwo</t>
  </si>
  <si>
    <t>01030</t>
  </si>
  <si>
    <t>Izby rolnicze</t>
  </si>
  <si>
    <t>Wpłaty gmin na rzecz izb rolniczych w wysokości 2% uzyskanych wpływów z podatku rolnego</t>
  </si>
  <si>
    <t xml:space="preserve">Wytwarzanie i zaopatrzenie w energię elektryczną, gaz i wodę </t>
  </si>
  <si>
    <t>Dostarczanie wody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</si>
  <si>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</si>
  <si>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</si>
  <si>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</si>
  <si>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</si>
  <si>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 xml:space="preserve"> Zakup materiałów i wyposażenia</t>
  </si>
  <si>
    <t xml:space="preserve"> Zakup usług remontowych </t>
  </si>
  <si>
    <t xml:space="preserve"> Wydatki inwestycyjne jednostek budżetowych</t>
  </si>
  <si>
    <t>Dotacje celowe przekazane do samorządu powiatu na inwestycje i zakupy inwestycyjne realizowane na podstawie porozumień (umów) między jednostkami samorządu terytorialnego</t>
  </si>
  <si>
    <t xml:space="preserve"> Zakup usług remontowych</t>
  </si>
  <si>
    <t>Gospodarka  mieszkaniowa</t>
  </si>
  <si>
    <t xml:space="preserve"> Różne opłaty i składki</t>
  </si>
  <si>
    <t>Towarzystwa Budownictwa Społecznego</t>
  </si>
  <si>
    <t>Działalność  usługowa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</si>
  <si>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</si>
  <si>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</si>
  <si>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</si>
  <si>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</si>
  <si>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</si>
  <si>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</si>
  <si>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</si>
  <si>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</si>
  <si>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</si>
  <si>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</si>
  <si>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</si>
  <si>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</si>
  <si>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</si>
  <si>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>Zakup usług remontowych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</si>
  <si>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</si>
  <si>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</si>
  <si>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</si>
  <si>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</si>
  <si>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 Opłaty z tytułu zakupu usług telekomunikacyjnych telefonii stacjonarnej  </t>
  </si>
  <si>
    <t xml:space="preserve"> Zakup usług obejmujących tłumaczenia</t>
  </si>
  <si>
    <t xml:space="preserve"> Opłaty za administrowanie i czynsze za budynki, lokale i pomieszczenia garażowe</t>
  </si>
  <si>
    <t xml:space="preserve"> Podróże służbowe krajowe</t>
  </si>
  <si>
    <t xml:space="preserve"> Podróże służbowe zagraniczne</t>
  </si>
  <si>
    <t xml:space="preserve"> 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</si>
  <si>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</si>
  <si>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</si>
  <si>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 Zakup materiałów papierniczych do sprzętu drukarskiego i urządzeń kserograficznych</t>
  </si>
  <si>
    <t xml:space="preserve"> Zakup akcesoriów komputerowych, w tym programów i licencji</t>
  </si>
  <si>
    <t xml:space="preserve">Promocja jednostek samorządu terytorialnego </t>
  </si>
  <si>
    <t>Różne wydatki na rzecz osób fizycznych</t>
  </si>
  <si>
    <r>
      <t xml:space="preserve">
</t>
    </r>
    <r>
      <rPr>
        <b/>
        <sz val="12"/>
        <rFont val="Times New Roman"/>
        <family val="1"/>
      </rPr>
      <t>754</t>
    </r>
  </si>
  <si>
    <t>Bezpieczeństwo publiczne  
i  ochrona  przeciwpożarowa</t>
  </si>
  <si>
    <t>Ochotnicze Straże Pożarne</t>
  </si>
  <si>
    <t xml:space="preserve"> Wydatki osobowe nie zaliczone do wynagrodzeń </t>
  </si>
  <si>
    <t>Zarządzanie kryzysowe</t>
  </si>
  <si>
    <t xml:space="preserve"> Rezerwy</t>
  </si>
  <si>
    <t xml:space="preserve">Dochody od osób prawnych,od osób fizycznych
i od innych jednostek nie posiadających
osobowości prawnej oraz wydatki związane
z ich poborem </t>
  </si>
  <si>
    <t xml:space="preserve">Pobór podatków, opłat i niepodatkowych należności budżetowych </t>
  </si>
  <si>
    <t>Wynagrodzenia agencyjno – prowizyjne</t>
  </si>
  <si>
    <t>Obsługa  długu  publicznego</t>
  </si>
  <si>
    <t>Obsługa papierów wartościowych, kredytów i pożyczek j.s.t.</t>
  </si>
  <si>
    <t>Rozliczenia z bankami związane z obsługą długu publicznego</t>
  </si>
  <si>
    <t xml:space="preserve"> Odsetki i dyskonto od skarbowych papierów wartościowych, kredytów i pożyczek oraz innych instrumentów finansowych związanych z obsługą długu krajowego   </t>
  </si>
  <si>
    <t>Odsetki od samorządowych papierów wartościowych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</si>
  <si>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</si>
  <si>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</si>
  <si>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</si>
  <si>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</si>
  <si>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</si>
  <si>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</si>
  <si>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</si>
  <si>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</si>
  <si>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</si>
  <si>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</si>
  <si>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</si>
  <si>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</si>
  <si>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</si>
  <si>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Zakup materiałów papierniczych do sprzętu drukarskiego i urządzeń  kserograficznych</t>
  </si>
  <si>
    <t xml:space="preserve"> Zakup akcesoriów komputerowych, w tym programów i licencji  </t>
  </si>
  <si>
    <t>Oddziały przedszkolne w szkołach podstawowych</t>
  </si>
  <si>
    <t xml:space="preserve"> Wynagrodzenia osobowe pracowników </t>
  </si>
  <si>
    <t>Zakup materiałów i wyposażenia</t>
  </si>
  <si>
    <t>Zakup pomocy naukowych, dydaktycznych i książek</t>
  </si>
  <si>
    <t xml:space="preserve"> Odpisy na zakładowy fundusz świadczeń socjalnych </t>
  </si>
  <si>
    <t>Zakup  materiałów papierniczych do sprzętu drukarskiego i urządzeń kserograficznych</t>
  </si>
  <si>
    <t xml:space="preserve">Przedszkola </t>
  </si>
  <si>
    <t xml:space="preserve"> Dotacja podmiotowa z budżetu dla niepublicznej jednostki systemu oświaty</t>
  </si>
  <si>
    <t>Wydatki osobowe niezaliczone do wynagrodzeń</t>
  </si>
  <si>
    <t>Dodatkowe wynagrodzenie roczne</t>
  </si>
  <si>
    <t>Składki na ubezpieczenia społeczne</t>
  </si>
  <si>
    <t>Składki na Fundusz Pracy</t>
  </si>
  <si>
    <t xml:space="preserve">Wynagrodzenia bezosobowe </t>
  </si>
  <si>
    <t>Zakup środków żywności</t>
  </si>
  <si>
    <t>Zakup energii</t>
  </si>
  <si>
    <t>Zakup usług zdrowotnych</t>
  </si>
  <si>
    <t>Zakup usług pozostałych</t>
  </si>
  <si>
    <t>Zakup usług dostępu do sieci Internet</t>
  </si>
  <si>
    <t>Opłaty z tytułu zakupu usług telekom. telefonii stacjonarnej</t>
  </si>
  <si>
    <t>Podróże służbowe krajowe</t>
  </si>
  <si>
    <t>Różne opłaty i składki</t>
  </si>
  <si>
    <t>Odpisy na zakładowy fundusz świadczeń socjalnych</t>
  </si>
  <si>
    <t>Szkolenia pracowników nie będących członkami korpusu służby cywilnej</t>
  </si>
  <si>
    <t>Zakup akcesoriów komputerowych, w tym programów i licencji</t>
  </si>
  <si>
    <t xml:space="preserve"> Wydatki osobowe nie zaliczone do wynagrodzeń</t>
  </si>
  <si>
    <t xml:space="preserve"> Opłata z tytułu zakupu usług telekomunikacyjnych telefonii stacjonarnej 
 </t>
  </si>
  <si>
    <t xml:space="preserve">Zakup materiałów papierniczych do sprzętu drukarskiego i urządzeń kserograficznych </t>
  </si>
  <si>
    <t xml:space="preserve"> Dowożenie uczniów do szkół</t>
  </si>
  <si>
    <t xml:space="preserve"> Wydatki osobowe niezaliczane do wynagrodzeń </t>
  </si>
  <si>
    <t xml:space="preserve"> Opłata z tytułu usług telekomunikacyjnych telefonii komórkowej</t>
  </si>
  <si>
    <t>Podatek na rzecz jednostek budżetowych</t>
  </si>
  <si>
    <t>Dokształcanie i doskonalenie nauczycieli</t>
  </si>
  <si>
    <t xml:space="preserve">Zakup materiałów i wyposażenia </t>
  </si>
  <si>
    <t xml:space="preserve"> Zakup środków żywności</t>
  </si>
  <si>
    <t xml:space="preserve"> Zakup materiałów papierniczych do sprzętu drukarskiego i urządzeń kserograficznych </t>
  </si>
  <si>
    <t xml:space="preserve"> Wydatki na zakupy inwestycyjne jednostek budżetowych</t>
  </si>
  <si>
    <t xml:space="preserve"> Dotacja celowa z budżetu na finansowanie lub dofinansowanie zadań zleconych do realizacji stowarzyszeniom</t>
  </si>
  <si>
    <t>Ochrona  zdrowia</t>
  </si>
  <si>
    <t xml:space="preserve">Zwalczanie narkomanii </t>
  </si>
  <si>
    <t xml:space="preserve"> Dotacje celowe przekazane gminie na zadania bieżące realizowane na podstawie porozumień między j.s.t.</t>
  </si>
  <si>
    <t xml:space="preserve"> Dotacja celowa z budżetu na finansowanie lub dofinansowanie zadań zleconych  do realizacji stowarzyszeniom</t>
  </si>
  <si>
    <t xml:space="preserve"> Dotacja celowa z budżetu na finansowanie lub dofinansowanie zadań zleconych  do realizacji pozostałym jednostkom niezaliczanym do sektora finansów publicznych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</si>
  <si>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</si>
  <si>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</si>
  <si>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</si>
  <si>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Świadczenia rodzinne, zaliczka alimentacyjna oraz składki na ubezpieczenia emerytalne i rentowe z ubezpieczenia społecznego</t>
  </si>
  <si>
    <t xml:space="preserve"> Zakup materiałów papierniczych do sprzętu drukarskiego oraz urządzeń kserograficznych</t>
  </si>
  <si>
    <t xml:space="preserve"> Zakup akcesoriów komputerowych, w tym programów i licencji   </t>
  </si>
  <si>
    <r>
      <t xml:space="preserve">Składki na ubezpieczenie zdrowotne opłacane za  osoby pobierające </t>
    </r>
    <r>
      <rPr>
        <b/>
        <sz val="12"/>
        <rFont val="Times New Roman"/>
        <family val="1"/>
      </rPr>
      <t xml:space="preserve"> świadczenia z pomocy  społecznej oraz niektóre świadczenia rodzinne</t>
    </r>
  </si>
  <si>
    <t xml:space="preserve"> Składki na ubezpieczenie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</si>
  <si>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</si>
  <si>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</si>
  <si>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</si>
  <si>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</si>
  <si>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</si>
  <si>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</si>
  <si>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</si>
  <si>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</si>
  <si>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 xml:space="preserve"> Podróże służbowe zagraniczne </t>
  </si>
  <si>
    <t xml:space="preserve"> Dotacja celowa z budżetu na finansowanie lub dofinansowanie zadań  zleconych do realizacji stowarzyszeniom  </t>
  </si>
  <si>
    <t>Edukacyjna  opieka  wychowawcza</t>
  </si>
  <si>
    <t>Pomoc materialna dla uczniów</t>
  </si>
  <si>
    <t xml:space="preserve"> Inne formy pomocy dla uczniów</t>
  </si>
  <si>
    <t>Gospodarka  komunalna  i  ochrona  środowiska</t>
  </si>
  <si>
    <t>Gospodarka ściekowa i ochrona wód</t>
  </si>
  <si>
    <t>Oczyszczanie miast i wsi</t>
  </si>
  <si>
    <t>Utrzymanie zieleni w miastach i gminach</t>
  </si>
  <si>
    <t xml:space="preserve">Schroniska dla zwierząt </t>
  </si>
  <si>
    <t xml:space="preserve">Oświetlenie ulic, placów i dróg </t>
  </si>
  <si>
    <t xml:space="preserve"> Zakup usług  remontowych</t>
  </si>
  <si>
    <t xml:space="preserve">6050
</t>
  </si>
  <si>
    <t xml:space="preserve"> Wydatki inwestycyjne jednostek budżetowych 
 </t>
  </si>
  <si>
    <t xml:space="preserve">  Zakup usług pozostałych</t>
  </si>
  <si>
    <t>załącznik Nr 7</t>
  </si>
  <si>
    <t xml:space="preserve"> Dotacja podmiotowa z budżetu dla samorządowej instytucji kultury</t>
  </si>
  <si>
    <t>Biblioteki</t>
  </si>
  <si>
    <t>Ochrona zabytków i opieka nad zabytkami</t>
  </si>
  <si>
    <t>Dotacja celowa z budżetu na finansowanie lub dofinansowanie zadań zleconych do realizacji stowarzyszeniom</t>
  </si>
  <si>
    <t>Zakupy materiałów i wyposażenia</t>
  </si>
  <si>
    <t>Zadania w zakresie kultury fizycznej</t>
  </si>
  <si>
    <t xml:space="preserve"> Dotacje celowe przekazane dla powiatu na zadania bieżące realizowane na podstawie porozumień między j.s.t.</t>
  </si>
  <si>
    <t>Załącznik Nr 8 do projektu uchwały Nr . Rady Miejskiej w Barlinku z dnia ........grudnia 2009</t>
  </si>
  <si>
    <t>Wydatki
budżetu Gminy Barlinek
związane z realizacją zadań z zakresu administracji rządowej i innych zadań zleconych odrębnymi ustawami w 2010 r.</t>
  </si>
  <si>
    <t>Wydatki bieżące</t>
  </si>
  <si>
    <t>Dotacje na zadanie bieżące</t>
  </si>
  <si>
    <t>Pochodne od 
wynagrodzeń</t>
  </si>
  <si>
    <t xml:space="preserve"> Opłaty z tytułu zakupu usług telekomunikacyjnych telefonii stacjonarnej</t>
  </si>
  <si>
    <t>Zakup materiałów papierniczych do sprzętu drukarskiego i urządzeń kserograficznych</t>
  </si>
  <si>
    <t>załącznik Nr 8</t>
  </si>
  <si>
    <r>
      <t xml:space="preserve">Składki na ubezpieczenie zdrowotne opłacane za  osoby pobierające </t>
    </r>
    <r>
      <rPr>
        <sz val="12"/>
        <rFont val="Times New Roman"/>
        <family val="1"/>
      </rPr>
      <t xml:space="preserve"> świadczenia z pomocy  społecznej oraz niektóre świadczenia rodzinne</t>
    </r>
  </si>
  <si>
    <t xml:space="preserve">Zakup usług zdrowotnych </t>
  </si>
  <si>
    <t xml:space="preserve">Załącznik Nr 9 do projektu uchwały Nr . Rady Miejskiej w Barlinku z dnia ........grudnia 2009 </t>
  </si>
  <si>
    <t>Wydatki
budżetu Gminy Barlinek związane z realizacją zadań z zakresu administracji rządowej wykonywanych na podstawie porozumień z organami administracji rządowej w 2010 r.</t>
  </si>
  <si>
    <t>Wydatki
bieżące</t>
  </si>
  <si>
    <t>Wydatki
majątkowe</t>
  </si>
  <si>
    <t>wynagrodzenia</t>
  </si>
  <si>
    <t>pochodne od 
wynagrodzeń</t>
  </si>
  <si>
    <t>dotacje</t>
  </si>
  <si>
    <t>Załącznik Nr 10 do projektu uchwały Nr . Rady Miejskiej w Barlinku z dnia ........grudnia 2009</t>
  </si>
  <si>
    <t>Wydatki budżetu Gminy Barlinek w 2010</t>
  </si>
  <si>
    <t>Dotacje</t>
  </si>
  <si>
    <t>Załącznik Nr 11 do projektu uchwały Nr . Rady Miejskiej w Barlinku z dnia ........grudnia 2009</t>
  </si>
  <si>
    <t xml:space="preserve">Plan wydatków inwestycyjnych  na 2010 rok </t>
  </si>
  <si>
    <t>1</t>
  </si>
  <si>
    <t>1. Modernizacja wodociągu w Lutówku</t>
  </si>
  <si>
    <t>2. Budowa stacji i sieci wodociągowej w Moczydle</t>
  </si>
  <si>
    <t>3. Budowa sieci wodociągowej ul. Fabrycznej w Barlinku – finansowanie zgodnie z porozumieniem z HACON Sp.zoo</t>
  </si>
  <si>
    <t>1.Przebudowa drogi wojewódzkiej Nr 156 na odcinku Mostkowo - Barlinek</t>
  </si>
  <si>
    <t>Wydatki inwestycyjne jednostek budżetowych</t>
  </si>
  <si>
    <t xml:space="preserve">1. Budowa ścieżki rowerowej z Barlinka do Krzynki </t>
  </si>
  <si>
    <t>2.Przebudowa drogi gminnej w Rychnowie</t>
  </si>
  <si>
    <t>3. Budowa drogi  gminnej w Strąpiu</t>
  </si>
  <si>
    <t>4. Przebudowa dróg gminnych z m. Osina do m.  Janowo (FOGR)</t>
  </si>
  <si>
    <t>5. Modernizacja drogi gminnej do Moczydła</t>
  </si>
  <si>
    <t xml:space="preserve">6. Budowa parkingów przy ul. Przemysłowej etap II </t>
  </si>
  <si>
    <t>7. Przebudowa  ul. Fabrycznej w Barlinku</t>
  </si>
  <si>
    <t xml:space="preserve">8.Przebudowa drogi gminnej w Mostkowie </t>
  </si>
  <si>
    <t>1. Budowa i przebudowa dróg łączących północną część miasta Barlinek z drogą wojewódzką DW 156</t>
  </si>
  <si>
    <t>1. Budowa cmentarza komunalnego przy ul. Szosowej w Barlinku</t>
  </si>
  <si>
    <t>2.Utwardzenie alejki na Cmentarzu Komunalnym w Barlinku przy ul. Gorzowskiej</t>
  </si>
  <si>
    <t>1. Odnowienie miejsca pamięci i zakup wyposażenia dla muzeum Dziedzicach</t>
  </si>
  <si>
    <t>Bezpieczeństwo publiczne
I ochrona  przeciwpożarowa</t>
  </si>
  <si>
    <t>1. Modernizacja strażnicy OSP w Barlinku na potrzeby Gminnego Centrum Ratownictwa</t>
  </si>
  <si>
    <t>1. SP Mostkowo „Radosna Szkoła -place zabaw”</t>
  </si>
  <si>
    <t>2. SP Nr 1 „Radosna Szkoła -place zabaw”</t>
  </si>
  <si>
    <t>3. SP Nr 4 „Radosna Szkoła -place zabaw”</t>
  </si>
  <si>
    <t>1. Zakup zmywarki do PM Nr 2</t>
  </si>
  <si>
    <t>1. Budowa sieci  kanalizacyjnej ul. Fabrycznej w Barlinku – finansowanie zgodnie z porozumieniem z HACON Sp. zoo</t>
  </si>
  <si>
    <t>1. Budowa oświetlenia drogowego</t>
  </si>
  <si>
    <t>2. Budowa ogrodzenie przy remizie w Łubiance</t>
  </si>
  <si>
    <t>1. Przebudowa budynku na świetlicę w Dzikowie</t>
  </si>
  <si>
    <t xml:space="preserve">1.Bibloteka miejska w Barlinku – zmiana użytkowania budynku przy ul. Gorzowskiej </t>
  </si>
  <si>
    <t>1. Przebudowa boiska piłkarskiego wraz z zapleczem techniczno -socjalnym przy ul. Sportowej w Barlinku</t>
  </si>
  <si>
    <t>2. Budowa kompleksu boisk sportowych wg „Moje boisko Orlik 2012” w Mostkowie</t>
  </si>
  <si>
    <t>1. Wykonanie ogrodzenia placów zabaw : Swadzim, Strapie</t>
  </si>
  <si>
    <t>1.Zakup placy zabaw</t>
  </si>
  <si>
    <t>Załącznik Nr 12 do projektu uchwały Nr . Rady Miejskiej w Barlinku z dnia ........grudnia 2009</t>
  </si>
  <si>
    <t>Plan dochodów
budżetu Gminy Barlinek na 2010 rok</t>
  </si>
  <si>
    <t xml:space="preserve">Szkoły Podstawowe </t>
  </si>
  <si>
    <t>Szkoła Podstawowa Nr 1</t>
  </si>
  <si>
    <t>Szkoła Podstawowa Nr 4</t>
  </si>
  <si>
    <t>Szkoła Podstawowa w Mostkowie</t>
  </si>
  <si>
    <t>Razem</t>
  </si>
  <si>
    <t>0830</t>
  </si>
  <si>
    <t>0920</t>
  </si>
  <si>
    <t>Pozostałe odsetki</t>
  </si>
  <si>
    <t>80148</t>
  </si>
  <si>
    <t>Załącznik Nr 13 do projektu uchwały Nr . Rady Miejskiej w Barlinku z dnia ........grudnia 2009</t>
  </si>
  <si>
    <t>Przedszkola Miejskie</t>
  </si>
  <si>
    <t>Przedszkole Miejskie            Nr 1</t>
  </si>
  <si>
    <t>Przedszkole Miejskie             Nr 2</t>
  </si>
  <si>
    <t xml:space="preserve"> Załącznik Nr 14 do projektu uchwały Nr   Rady Miejskiej  w Barlinku z dnia ........grudnia 2009</t>
  </si>
  <si>
    <t>Publiczne Gimnazja</t>
  </si>
  <si>
    <t>Publiczne Gimnazjum Nr 1</t>
  </si>
  <si>
    <t>Publiczne Gimnazjum Nr 2</t>
  </si>
  <si>
    <t xml:space="preserve"> Gimnazjum dla Dorosłych</t>
  </si>
  <si>
    <t>Załącznik Nr 15 do projektu uchwały Nr .. Rady Miejskiej w Barlinku z dnia ........grudnia 2009</t>
  </si>
  <si>
    <t>Wydatki budżetu Gminy na 2010</t>
  </si>
  <si>
    <t>Nazwa paragrafu</t>
  </si>
  <si>
    <t>Wydatki
z tytułu poręczeń
i gwarancji</t>
  </si>
  <si>
    <t>Wydatki osobowe nie zaliczone do wynagrodzeń</t>
  </si>
  <si>
    <t>Zasądzone renty</t>
  </si>
  <si>
    <t>Wynagrodzenia bezosobowe</t>
  </si>
  <si>
    <t>Opłaty z tytułu zakupu usług telekomunikacyjnych telefonii stacjonarnej</t>
  </si>
  <si>
    <t>załącznik nr 15</t>
  </si>
  <si>
    <t>Odpisy na Zakładowy Fundusz Świadczeń Socjalnych</t>
  </si>
  <si>
    <t>Wydatki na zakupy inwestycyjne jednostek</t>
  </si>
  <si>
    <t>Załącznik Nr 16 do projektu uchwały Nr .. Rady Miejskiej w Barlinku z dnia ........grudnia 2009</t>
  </si>
  <si>
    <t>Pochodne od wynagrodzeń</t>
  </si>
  <si>
    <t>wydatki z tytułu poręczeń i gwarancji</t>
  </si>
  <si>
    <t>Stypendia dla uczniów</t>
  </si>
  <si>
    <t xml:space="preserve">załącznik Nr 16 </t>
  </si>
  <si>
    <t>Załącznik Nr 17 do projektu uchwały Nr   Rady Miejskiej w Barlinku z dnia ........grudnia 2009</t>
  </si>
  <si>
    <t>załącznik nr 17</t>
  </si>
  <si>
    <t>Załącznik Nr 18 do projektu uchwały Nr  Rady Miejskiej w Barlinku z dnia ........grudnia 2009</t>
  </si>
  <si>
    <t>Przedszkole Miejskie Nr 1</t>
  </si>
  <si>
    <t>załącznik nr 18</t>
  </si>
  <si>
    <t>Załącznik Nr 19 do projektu uchwały Nr  Rady Miejskiej w Barlinku z dnia ........grudnia 2009</t>
  </si>
  <si>
    <t>Przedszkole Miejskie Nr 2</t>
  </si>
  <si>
    <t>Opłaty z tytułu zakupu usług telekomunikacyjnych telefonii komórkowej</t>
  </si>
  <si>
    <t>załącznik nr 19</t>
  </si>
  <si>
    <t>Podróże służbowe zagraniczne</t>
  </si>
  <si>
    <t xml:space="preserve">Załącznik Nr 20 do projektu uchwały Nr   Rady Miejskiej w Barlinku z dnia ........grudnia 2009 </t>
  </si>
  <si>
    <t>załącznik nr 20</t>
  </si>
  <si>
    <t>Załącznik Nr 21 do projektu uchwały Nr Rady Miejskiej w Barlinku z dnia ........grudnia 2009</t>
  </si>
  <si>
    <t>załącznik nr 21</t>
  </si>
  <si>
    <t>Załącznik Nr 22 do projektu uchwały Nr   Rady Miejskiej w Barlinku z dnia ........grudnia 2009</t>
  </si>
  <si>
    <t>Gimnazjum dla Dorosłych</t>
  </si>
  <si>
    <t>załącznik nr 22</t>
  </si>
  <si>
    <t>Załącznik Nr 23 do projektu uchwały Nr .Rady Miejskiej w Barlinku z dnia ........grudnia 2009</t>
  </si>
  <si>
    <t>Plan przychodów i wydatków  rachunków dochodów własnych jednostek budżetowych w 2010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</si>
  <si>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</si>
  <si>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</si>
  <si>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</si>
  <si>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</si>
  <si>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</si>
  <si>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2009 r.</t>
  </si>
  <si>
    <t>ogółem</t>
  </si>
  <si>
    <t>w tym: wpłata do budżetu</t>
  </si>
  <si>
    <t>dotacje
z budżetu</t>
  </si>
  <si>
    <t>na wydatki bieżące</t>
  </si>
  <si>
    <t>na inwestycje</t>
  </si>
  <si>
    <t>I</t>
  </si>
  <si>
    <t>Rachunki dochodów własnych jednostek budżetowych</t>
  </si>
  <si>
    <t>x</t>
  </si>
  <si>
    <t>1. Szkoła Podstawowa Nr 1</t>
  </si>
  <si>
    <t>2. Szkoła Podstawowa Mostkowo</t>
  </si>
  <si>
    <t>3. Przedszkole Miejskie Nr 2</t>
  </si>
  <si>
    <t>4. Publiczne Gimnazjum Nr 1</t>
  </si>
  <si>
    <t>5. Publiczne Gimnazjum Nr 1</t>
  </si>
  <si>
    <t>6. Publiczne Gimnazjum Nr 1</t>
  </si>
  <si>
    <t>7. Gimnazjum dla Dorosłych</t>
  </si>
  <si>
    <t>Załącznik Nr  24 do projektu uchwały Nr   Rady Miejskiej w Barlinku z dnia ........grudnia 2009</t>
  </si>
  <si>
    <t>Dotacje podmiotowe dla jednostek sektora finansów publicznych udzielone z budżetu Gminy Barlinek w 2010 r.</t>
  </si>
  <si>
    <t>Nazwa jednostki lub działalności</t>
  </si>
  <si>
    <t>Kultura i ochrona dziedzictwa narodowego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</si>
</sst>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9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E"/>
      <family val="1"/>
    </font>
    <font>
      <sz val="9"/>
      <name val="Times New Roman"/>
      <family val="1"/>
    </font>
    <font>
      <b/>
      <sz val="15"/>
      <name val="Times New Roman"/>
      <family val="1"/>
    </font>
    <font>
      <i/>
      <u val="single"/>
      <sz val="9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Lucida Sans Unicode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.5"/>
      <name val="Arial CE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sz val="12"/>
      <name val="Arial Unicode MS"/>
      <family val="2"/>
    </font>
    <font>
      <sz val="6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31"/>
      <name val="Times New Roman"/>
      <family val="1"/>
    </font>
    <font>
      <sz val="12"/>
      <color indexed="31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3" borderId="1" applyNumberFormat="0" applyAlignment="0" applyProtection="0"/>
    <xf numFmtId="0" fontId="10" fillId="2" borderId="3" applyNumberFormat="0" applyAlignment="0" applyProtection="0"/>
    <xf numFmtId="0" fontId="11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7" applyNumberFormat="0" applyFill="0" applyAlignment="0" applyProtection="0"/>
    <xf numFmtId="0" fontId="19" fillId="12" borderId="2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4" borderId="8" applyNumberFormat="0" applyAlignment="0" applyProtection="0"/>
    <xf numFmtId="0" fontId="26" fillId="2" borderId="1" applyNumberFormat="0" applyAlignment="0" applyProtection="0"/>
    <xf numFmtId="0" fontId="93" fillId="0" borderId="0" applyNumberFormat="0" applyFill="0" applyBorder="0" applyAlignment="0" applyProtection="0"/>
    <xf numFmtId="0" fontId="27" fillId="2" borderId="3" applyNumberForma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</cellStyleXfs>
  <cellXfs count="883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3" fontId="4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justify" vertical="center" wrapText="1"/>
    </xf>
    <xf numFmtId="3" fontId="39" fillId="0" borderId="0" xfId="0" applyNumberFormat="1" applyFont="1" applyBorder="1" applyAlignment="1">
      <alignment vertical="top" wrapText="1"/>
    </xf>
    <xf numFmtId="3" fontId="42" fillId="0" borderId="0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justify" vertical="center" wrapText="1"/>
    </xf>
    <xf numFmtId="0" fontId="49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justify" wrapText="1"/>
    </xf>
    <xf numFmtId="0" fontId="43" fillId="0" borderId="0" xfId="0" applyFont="1" applyAlignment="1">
      <alignment horizontal="justify" wrapText="1"/>
    </xf>
    <xf numFmtId="0" fontId="49" fillId="0" borderId="0" xfId="0" applyFont="1" applyAlignment="1">
      <alignment horizontal="justify" wrapText="1"/>
    </xf>
    <xf numFmtId="0" fontId="35" fillId="0" borderId="0" xfId="0" applyFont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 wrapText="1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49" fontId="39" fillId="6" borderId="10" xfId="0" applyNumberFormat="1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wrapText="1"/>
    </xf>
    <xf numFmtId="3" fontId="39" fillId="6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49" fontId="42" fillId="0" borderId="1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56" fillId="6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36" fillId="19" borderId="10" xfId="0" applyNumberFormat="1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left" vertical="center" wrapText="1"/>
    </xf>
    <xf numFmtId="3" fontId="36" fillId="19" borderId="10" xfId="0" applyNumberFormat="1" applyFont="1" applyFill="1" applyBorder="1" applyAlignment="1">
      <alignment horizontal="right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 wrapText="1"/>
    </xf>
    <xf numFmtId="0" fontId="36" fillId="19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right" vertical="center"/>
    </xf>
    <xf numFmtId="3" fontId="35" fillId="2" borderId="10" xfId="0" applyNumberFormat="1" applyFont="1" applyFill="1" applyBorder="1" applyAlignment="1">
      <alignment vertical="center" wrapText="1"/>
    </xf>
    <xf numFmtId="49" fontId="3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61" fillId="19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49" fontId="62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3" fontId="36" fillId="19" borderId="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wrapText="1"/>
    </xf>
    <xf numFmtId="49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3" fontId="36" fillId="19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35" fillId="0" borderId="0" xfId="0" applyFont="1" applyAlignment="1">
      <alignment wrapText="1"/>
    </xf>
    <xf numFmtId="0" fontId="65" fillId="0" borderId="0" xfId="0" applyFont="1" applyAlignment="1">
      <alignment/>
    </xf>
    <xf numFmtId="3" fontId="35" fillId="0" borderId="0" xfId="0" applyNumberFormat="1" applyFont="1" applyAlignment="1">
      <alignment horizontal="right" vertical="center"/>
    </xf>
    <xf numFmtId="1" fontId="35" fillId="0" borderId="0" xfId="0" applyNumberFormat="1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6" fillId="12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49" fontId="58" fillId="12" borderId="10" xfId="0" applyNumberFormat="1" applyFont="1" applyFill="1" applyBorder="1" applyAlignment="1">
      <alignment horizontal="center" vertical="center" wrapText="1"/>
    </xf>
    <xf numFmtId="0" fontId="58" fillId="12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vertical="center" wrapText="1"/>
    </xf>
    <xf numFmtId="3" fontId="36" fillId="19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44" fillId="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 wrapText="1"/>
    </xf>
    <xf numFmtId="49" fontId="62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right" vertical="center"/>
    </xf>
    <xf numFmtId="1" fontId="3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55" fillId="0" borderId="0" xfId="0" applyNumberFormat="1" applyFont="1" applyAlignment="1">
      <alignment horizontal="right" vertical="center"/>
    </xf>
    <xf numFmtId="49" fontId="39" fillId="12" borderId="10" xfId="0" applyNumberFormat="1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 wrapText="1"/>
    </xf>
    <xf numFmtId="3" fontId="39" fillId="12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49" fontId="35" fillId="2" borderId="0" xfId="0" applyNumberFormat="1" applyFont="1" applyFill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3" fontId="35" fillId="2" borderId="0" xfId="0" applyNumberFormat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3" fontId="35" fillId="2" borderId="0" xfId="0" applyNumberFormat="1" applyFont="1" applyFill="1" applyBorder="1" applyAlignment="1">
      <alignment horizontal="center" vertical="center" wrapText="1"/>
    </xf>
    <xf numFmtId="3" fontId="35" fillId="2" borderId="11" xfId="0" applyNumberFormat="1" applyFont="1" applyFill="1" applyBorder="1" applyAlignment="1">
      <alignment horizontal="center" vertical="center" wrapText="1"/>
    </xf>
    <xf numFmtId="3" fontId="35" fillId="2" borderId="0" xfId="0" applyNumberFormat="1" applyFont="1" applyFill="1" applyAlignment="1">
      <alignment horizontal="center" vertical="center" wrapText="1"/>
    </xf>
    <xf numFmtId="3" fontId="55" fillId="2" borderId="0" xfId="0" applyNumberFormat="1" applyFont="1" applyFill="1" applyAlignment="1">
      <alignment horizontal="right" vertical="center" wrapText="1"/>
    </xf>
    <xf numFmtId="3" fontId="44" fillId="10" borderId="10" xfId="0" applyNumberFormat="1" applyFont="1" applyFill="1" applyBorder="1" applyAlignment="1">
      <alignment horizontal="center" vertical="top" wrapText="1"/>
    </xf>
    <xf numFmtId="0" fontId="67" fillId="2" borderId="0" xfId="0" applyFont="1" applyFill="1" applyAlignment="1">
      <alignment horizontal="center" vertical="center"/>
    </xf>
    <xf numFmtId="0" fontId="44" fillId="10" borderId="10" xfId="71" applyFont="1" applyFill="1" applyBorder="1" applyAlignment="1">
      <alignment horizontal="center" vertical="top" wrapText="1"/>
      <protection/>
    </xf>
    <xf numFmtId="0" fontId="69" fillId="2" borderId="0" xfId="0" applyFont="1" applyFill="1" applyAlignment="1">
      <alignment horizontal="center" vertical="center"/>
    </xf>
    <xf numFmtId="3" fontId="58" fillId="12" borderId="10" xfId="0" applyNumberFormat="1" applyFont="1" applyFill="1" applyBorder="1" applyAlignment="1">
      <alignment horizontal="center" vertical="center" wrapText="1"/>
    </xf>
    <xf numFmtId="3" fontId="57" fillId="12" borderId="10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/>
    </xf>
    <xf numFmtId="49" fontId="36" fillId="19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3" fontId="36" fillId="2" borderId="10" xfId="0" applyNumberFormat="1" applyFont="1" applyFill="1" applyBorder="1" applyAlignment="1">
      <alignment horizontal="right" vertical="center"/>
    </xf>
    <xf numFmtId="0" fontId="35" fillId="2" borderId="10" xfId="0" applyFont="1" applyFill="1" applyBorder="1" applyAlignment="1">
      <alignment horizontal="left" vertical="center" wrapText="1"/>
    </xf>
    <xf numFmtId="1" fontId="35" fillId="2" borderId="0" xfId="0" applyNumberFormat="1" applyFont="1" applyFill="1" applyAlignment="1">
      <alignment vertical="center"/>
    </xf>
    <xf numFmtId="3" fontId="35" fillId="2" borderId="0" xfId="0" applyNumberFormat="1" applyFont="1" applyFill="1" applyAlignment="1">
      <alignment vertical="center"/>
    </xf>
    <xf numFmtId="10" fontId="35" fillId="20" borderId="0" xfId="0" applyNumberFormat="1" applyFont="1" applyFill="1" applyAlignment="1">
      <alignment vertical="center"/>
    </xf>
    <xf numFmtId="0" fontId="35" fillId="2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 applyProtection="1">
      <alignment horizontal="center" vertical="center" wrapText="1"/>
      <protection/>
    </xf>
    <xf numFmtId="3" fontId="48" fillId="0" borderId="10" xfId="0" applyNumberFormat="1" applyFont="1" applyBorder="1" applyAlignment="1" applyProtection="1">
      <alignment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vertical="center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justify" vertical="center" wrapText="1"/>
    </xf>
    <xf numFmtId="3" fontId="36" fillId="2" borderId="10" xfId="0" applyNumberFormat="1" applyFont="1" applyFill="1" applyBorder="1" applyAlignment="1">
      <alignment horizontal="right" vertical="center" wrapText="1"/>
    </xf>
    <xf numFmtId="0" fontId="35" fillId="2" borderId="10" xfId="0" applyFont="1" applyFill="1" applyBorder="1" applyAlignment="1">
      <alignment horizontal="justify" vertical="center" wrapText="1"/>
    </xf>
    <xf numFmtId="3" fontId="35" fillId="2" borderId="1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/>
    </xf>
    <xf numFmtId="3" fontId="35" fillId="2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164" fontId="35" fillId="2" borderId="0" xfId="0" applyNumberFormat="1" applyFont="1" applyFill="1" applyAlignment="1">
      <alignment vertical="center" wrapText="1"/>
    </xf>
    <xf numFmtId="4" fontId="35" fillId="2" borderId="0" xfId="0" applyNumberFormat="1" applyFont="1" applyFill="1" applyAlignment="1">
      <alignment vertical="center" wrapText="1"/>
    </xf>
    <xf numFmtId="3" fontId="55" fillId="0" borderId="0" xfId="0" applyNumberFormat="1" applyFont="1" applyAlignment="1">
      <alignment horizontal="right" vertical="center"/>
    </xf>
    <xf numFmtId="3" fontId="56" fillId="10" borderId="10" xfId="0" applyNumberFormat="1" applyFont="1" applyFill="1" applyBorder="1" applyAlignment="1">
      <alignment horizontal="center" vertical="center" wrapText="1"/>
    </xf>
    <xf numFmtId="0" fontId="67" fillId="10" borderId="10" xfId="71" applyFont="1" applyFill="1" applyBorder="1" applyAlignment="1">
      <alignment horizontal="center" vertical="top" wrapText="1"/>
      <protection/>
    </xf>
    <xf numFmtId="0" fontId="57" fillId="10" borderId="10" xfId="0" applyFont="1" applyFill="1" applyBorder="1" applyAlignment="1">
      <alignment horizontal="center" vertical="center"/>
    </xf>
    <xf numFmtId="3" fontId="57" fillId="1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center" wrapText="1"/>
    </xf>
    <xf numFmtId="3" fontId="36" fillId="2" borderId="10" xfId="0" applyNumberFormat="1" applyFont="1" applyFill="1" applyBorder="1" applyAlignment="1">
      <alignment horizontal="right" vertical="center"/>
    </xf>
    <xf numFmtId="0" fontId="35" fillId="2" borderId="10" xfId="0" applyFont="1" applyFill="1" applyBorder="1" applyAlignment="1">
      <alignment horizontal="center" vertical="center"/>
    </xf>
    <xf numFmtId="3" fontId="35" fillId="2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6" fillId="12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3" fontId="35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3" fontId="56" fillId="1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/>
    </xf>
    <xf numFmtId="49" fontId="36" fillId="2" borderId="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right" vertical="center"/>
    </xf>
    <xf numFmtId="0" fontId="56" fillId="6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9" fontId="57" fillId="6" borderId="10" xfId="0" applyNumberFormat="1" applyFont="1" applyFill="1" applyBorder="1" applyAlignment="1">
      <alignment horizontal="center" vertical="center" wrapText="1"/>
    </xf>
    <xf numFmtId="0" fontId="57" fillId="6" borderId="10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3" fontId="36" fillId="19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justify" vertical="center" wrapText="1"/>
    </xf>
    <xf numFmtId="3" fontId="36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top"/>
    </xf>
    <xf numFmtId="165" fontId="35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72" fillId="2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vertical="center" wrapText="1"/>
    </xf>
    <xf numFmtId="3" fontId="48" fillId="2" borderId="10" xfId="0" applyNumberFormat="1" applyFont="1" applyFill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3" fontId="36" fillId="5" borderId="10" xfId="0" applyNumberFormat="1" applyFont="1" applyFill="1" applyBorder="1" applyAlignment="1">
      <alignment horizontal="right" vertical="center"/>
    </xf>
    <xf numFmtId="2" fontId="35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73" fillId="2" borderId="0" xfId="0" applyNumberFormat="1" applyFont="1" applyFill="1" applyBorder="1" applyAlignment="1" applyProtection="1">
      <alignment horizontal="right" vertical="top"/>
      <protection/>
    </xf>
    <xf numFmtId="0" fontId="45" fillId="6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6" borderId="14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57" fillId="6" borderId="10" xfId="0" applyNumberFormat="1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/>
    </xf>
    <xf numFmtId="0" fontId="35" fillId="0" borderId="0" xfId="0" applyFont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3" fontId="36" fillId="0" borderId="10" xfId="0" applyNumberFormat="1" applyFont="1" applyBorder="1" applyAlignment="1">
      <alignment vertical="top"/>
    </xf>
    <xf numFmtId="49" fontId="62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3" fontId="35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vertical="top"/>
    </xf>
    <xf numFmtId="49" fontId="36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3" fontId="36" fillId="0" borderId="10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3" fontId="36" fillId="5" borderId="10" xfId="0" applyNumberFormat="1" applyFont="1" applyFill="1" applyBorder="1" applyAlignment="1">
      <alignment horizontal="right" vertical="top" wrapText="1"/>
    </xf>
    <xf numFmtId="2" fontId="35" fillId="0" borderId="0" xfId="0" applyNumberFormat="1" applyFont="1" applyAlignment="1">
      <alignment horizontal="right" vertical="top"/>
    </xf>
    <xf numFmtId="0" fontId="58" fillId="0" borderId="12" xfId="0" applyFont="1" applyBorder="1" applyAlignment="1">
      <alignment horizontal="right" vertical="top"/>
    </xf>
    <xf numFmtId="3" fontId="36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horizontal="right" vertical="top" wrapText="1"/>
    </xf>
    <xf numFmtId="3" fontId="36" fillId="0" borderId="10" xfId="0" applyNumberFormat="1" applyFont="1" applyBorder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35" fillId="6" borderId="10" xfId="0" applyFont="1" applyFill="1" applyBorder="1" applyAlignment="1">
      <alignment horizontal="center" vertical="top"/>
    </xf>
    <xf numFmtId="0" fontId="57" fillId="0" borderId="0" xfId="0" applyFont="1" applyAlignment="1">
      <alignment vertical="center" wrapText="1"/>
    </xf>
    <xf numFmtId="0" fontId="75" fillId="0" borderId="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vertical="center" wrapText="1"/>
    </xf>
    <xf numFmtId="0" fontId="48" fillId="2" borderId="0" xfId="0" applyNumberFormat="1" applyFont="1" applyFill="1" applyBorder="1" applyAlignment="1">
      <alignment vertical="center" wrapText="1"/>
    </xf>
    <xf numFmtId="0" fontId="73" fillId="2" borderId="0" xfId="0" applyNumberFormat="1" applyFont="1" applyFill="1" applyBorder="1" applyAlignment="1">
      <alignment horizontal="right" vertical="center" wrapText="1"/>
    </xf>
    <xf numFmtId="0" fontId="77" fillId="12" borderId="1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vertical="center" wrapText="1"/>
    </xf>
    <xf numFmtId="3" fontId="77" fillId="12" borderId="10" xfId="0" applyNumberFormat="1" applyFont="1" applyFill="1" applyBorder="1" applyAlignment="1">
      <alignment horizontal="center" vertical="center" wrapText="1"/>
    </xf>
    <xf numFmtId="0" fontId="67" fillId="12" borderId="10" xfId="71" applyFont="1" applyFill="1" applyBorder="1" applyAlignment="1">
      <alignment horizontal="center" vertical="top" wrapText="1"/>
      <protection/>
    </xf>
    <xf numFmtId="3" fontId="67" fillId="12" borderId="10" xfId="0" applyNumberFormat="1" applyFont="1" applyFill="1" applyBorder="1" applyAlignment="1">
      <alignment horizontal="center" vertical="top" wrapText="1"/>
    </xf>
    <xf numFmtId="0" fontId="48" fillId="6" borderId="10" xfId="0" applyNumberFormat="1" applyFont="1" applyFill="1" applyBorder="1" applyAlignment="1">
      <alignment horizontal="center" vertical="center" wrapText="1"/>
    </xf>
    <xf numFmtId="3" fontId="36" fillId="19" borderId="10" xfId="0" applyNumberFormat="1" applyFont="1" applyFill="1" applyBorder="1" applyAlignment="1">
      <alignment horizontal="right" vertical="center" wrapText="1"/>
    </xf>
    <xf numFmtId="3" fontId="72" fillId="2" borderId="10" xfId="0" applyNumberFormat="1" applyFont="1" applyFill="1" applyBorder="1" applyAlignment="1">
      <alignment horizontal="right" vertical="center" wrapText="1"/>
    </xf>
    <xf numFmtId="3" fontId="78" fillId="2" borderId="10" xfId="0" applyNumberFormat="1" applyFont="1" applyFill="1" applyBorder="1" applyAlignment="1">
      <alignment horizontal="right" vertical="center" wrapText="1"/>
    </xf>
    <xf numFmtId="3" fontId="48" fillId="2" borderId="10" xfId="0" applyNumberFormat="1" applyFont="1" applyFill="1" applyBorder="1" applyAlignment="1">
      <alignment horizontal="right" vertical="center" wrapText="1"/>
    </xf>
    <xf numFmtId="3" fontId="79" fillId="2" borderId="10" xfId="0" applyNumberFormat="1" applyFont="1" applyFill="1" applyBorder="1" applyAlignment="1">
      <alignment horizontal="right" vertical="center" wrapText="1"/>
    </xf>
    <xf numFmtId="3" fontId="79" fillId="2" borderId="10" xfId="0" applyNumberFormat="1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3" fontId="35" fillId="2" borderId="10" xfId="0" applyNumberFormat="1" applyFont="1" applyFill="1" applyBorder="1" applyAlignment="1">
      <alignment horizontal="right" vertical="center"/>
    </xf>
    <xf numFmtId="1" fontId="48" fillId="0" borderId="10" xfId="0" applyNumberFormat="1" applyFont="1" applyBorder="1" applyAlignment="1" applyProtection="1">
      <alignment horizontal="center" vertical="center" wrapText="1"/>
      <protection/>
    </xf>
    <xf numFmtId="3" fontId="48" fillId="0" borderId="10" xfId="0" applyNumberFormat="1" applyFont="1" applyBorder="1" applyAlignment="1" applyProtection="1">
      <alignment vertical="center" wrapText="1"/>
      <protection/>
    </xf>
    <xf numFmtId="3" fontId="35" fillId="0" borderId="10" xfId="0" applyNumberFormat="1" applyFont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3" fontId="35" fillId="2" borderId="0" xfId="0" applyNumberFormat="1" applyFont="1" applyFill="1" applyBorder="1" applyAlignment="1">
      <alignment horizontal="center" vertical="center" wrapText="1"/>
    </xf>
    <xf numFmtId="3" fontId="35" fillId="2" borderId="0" xfId="0" applyNumberFormat="1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3" fontId="55" fillId="2" borderId="0" xfId="0" applyNumberFormat="1" applyFont="1" applyFill="1" applyAlignment="1">
      <alignment horizontal="right" vertical="center"/>
    </xf>
    <xf numFmtId="0" fontId="67" fillId="1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3" fontId="67" fillId="10" borderId="10" xfId="0" applyNumberFormat="1" applyFont="1" applyFill="1" applyBorder="1" applyAlignment="1">
      <alignment horizontal="center" vertical="top" wrapText="1"/>
    </xf>
    <xf numFmtId="0" fontId="35" fillId="10" borderId="10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 wrapText="1"/>
    </xf>
    <xf numFmtId="3" fontId="48" fillId="2" borderId="10" xfId="0" applyNumberFormat="1" applyFont="1" applyFill="1" applyBorder="1" applyAlignment="1">
      <alignment vertical="center" wrapText="1"/>
    </xf>
    <xf numFmtId="3" fontId="35" fillId="2" borderId="10" xfId="0" applyNumberFormat="1" applyFont="1" applyFill="1" applyBorder="1" applyAlignment="1">
      <alignment vertical="center"/>
    </xf>
    <xf numFmtId="3" fontId="80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81" fillId="0" borderId="0" xfId="0" applyNumberFormat="1" applyFont="1" applyBorder="1" applyAlignment="1" applyProtection="1">
      <alignment/>
      <protection/>
    </xf>
    <xf numFmtId="49" fontId="47" fillId="2" borderId="0" xfId="0" applyNumberFormat="1" applyFont="1" applyFill="1" applyBorder="1" applyAlignment="1" applyProtection="1">
      <alignment horizontal="center" vertical="top" wrapText="1"/>
      <protection/>
    </xf>
    <xf numFmtId="0" fontId="81" fillId="2" borderId="0" xfId="0" applyNumberFormat="1" applyFont="1" applyFill="1" applyBorder="1" applyAlignment="1" applyProtection="1">
      <alignment vertical="top"/>
      <protection/>
    </xf>
    <xf numFmtId="0" fontId="82" fillId="2" borderId="0" xfId="0" applyNumberFormat="1" applyFont="1" applyFill="1" applyBorder="1" applyAlignment="1" applyProtection="1">
      <alignment horizontal="right" vertical="top"/>
      <protection/>
    </xf>
    <xf numFmtId="0" fontId="77" fillId="12" borderId="10" xfId="0" applyNumberFormat="1" applyFont="1" applyFill="1" applyBorder="1" applyAlignment="1" applyProtection="1">
      <alignment horizontal="center" vertical="center" wrapText="1"/>
      <protection/>
    </xf>
    <xf numFmtId="3" fontId="77" fillId="12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Border="1" applyAlignment="1" applyProtection="1">
      <alignment/>
      <protection/>
    </xf>
    <xf numFmtId="0" fontId="48" fillId="12" borderId="10" xfId="0" applyFont="1" applyFill="1" applyBorder="1" applyAlignment="1" applyProtection="1">
      <alignment horizontal="center" vertical="top" wrapText="1"/>
      <protection/>
    </xf>
    <xf numFmtId="3" fontId="36" fillId="19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Border="1" applyAlignment="1" applyProtection="1">
      <alignment vertical="center"/>
      <protection/>
    </xf>
    <xf numFmtId="3" fontId="36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vertical="center" wrapText="1"/>
    </xf>
    <xf numFmtId="3" fontId="48" fillId="2" borderId="10" xfId="0" applyNumberFormat="1" applyFont="1" applyFill="1" applyBorder="1" applyAlignment="1" applyProtection="1">
      <alignment horizontal="center" vertical="center" wrapText="1"/>
      <protection/>
    </xf>
    <xf numFmtId="3" fontId="48" fillId="2" borderId="10" xfId="0" applyNumberFormat="1" applyFont="1" applyFill="1" applyBorder="1" applyAlignment="1" applyProtection="1">
      <alignment horizontal="right" vertical="center" wrapText="1"/>
      <protection/>
    </xf>
    <xf numFmtId="3" fontId="72" fillId="2" borderId="10" xfId="0" applyNumberFormat="1" applyFont="1" applyFill="1" applyBorder="1" applyAlignment="1" applyProtection="1">
      <alignment horizontal="right" vertical="center" wrapText="1"/>
      <protection/>
    </xf>
    <xf numFmtId="3" fontId="78" fillId="2" borderId="10" xfId="0" applyNumberFormat="1" applyFont="1" applyFill="1" applyBorder="1" applyAlignment="1" applyProtection="1">
      <alignment horizontal="right" vertical="center" wrapText="1"/>
      <protection/>
    </xf>
    <xf numFmtId="3" fontId="79" fillId="2" borderId="10" xfId="0" applyNumberFormat="1" applyFont="1" applyFill="1" applyBorder="1" applyAlignment="1" applyProtection="1">
      <alignment horizontal="right" vertical="center" wrapText="1"/>
      <protection/>
    </xf>
    <xf numFmtId="1" fontId="35" fillId="0" borderId="10" xfId="0" applyNumberFormat="1" applyFont="1" applyBorder="1" applyAlignment="1">
      <alignment horizontal="center" vertical="center"/>
    </xf>
    <xf numFmtId="3" fontId="72" fillId="2" borderId="10" xfId="0" applyNumberFormat="1" applyFont="1" applyFill="1" applyBorder="1" applyAlignment="1" applyProtection="1">
      <alignment horizontal="center" vertical="center" wrapText="1"/>
      <protection/>
    </xf>
    <xf numFmtId="1" fontId="35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left" vertical="center" wrapText="1"/>
    </xf>
    <xf numFmtId="3" fontId="72" fillId="2" borderId="10" xfId="0" applyNumberFormat="1" applyFont="1" applyFill="1" applyBorder="1" applyAlignment="1">
      <alignment horizontal="center" vertical="center" wrapText="1"/>
    </xf>
    <xf numFmtId="3" fontId="72" fillId="2" borderId="10" xfId="0" applyNumberFormat="1" applyFont="1" applyFill="1" applyBorder="1" applyAlignment="1">
      <alignment horizontal="right" vertical="center" wrapText="1"/>
    </xf>
    <xf numFmtId="3" fontId="78" fillId="2" borderId="10" xfId="0" applyNumberFormat="1" applyFont="1" applyFill="1" applyBorder="1" applyAlignment="1">
      <alignment horizontal="right" vertical="center" wrapText="1"/>
    </xf>
    <xf numFmtId="3" fontId="48" fillId="2" borderId="10" xfId="0" applyNumberFormat="1" applyFont="1" applyFill="1" applyBorder="1" applyAlignment="1">
      <alignment horizontal="right" vertical="center" wrapText="1"/>
    </xf>
    <xf numFmtId="3" fontId="79" fillId="2" borderId="10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81" fillId="0" borderId="0" xfId="0" applyNumberFormat="1" applyFont="1" applyBorder="1" applyAlignment="1" applyProtection="1">
      <alignment wrapText="1"/>
      <protection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52" fillId="0" borderId="0" xfId="0" applyFont="1" applyAlignment="1">
      <alignment/>
    </xf>
    <xf numFmtId="0" fontId="44" fillId="1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top"/>
    </xf>
    <xf numFmtId="0" fontId="36" fillId="19" borderId="10" xfId="0" applyFont="1" applyFill="1" applyBorder="1" applyAlignment="1">
      <alignment horizontal="center" vertical="top" wrapText="1"/>
    </xf>
    <xf numFmtId="3" fontId="36" fillId="19" borderId="10" xfId="0" applyNumberFormat="1" applyFont="1" applyFill="1" applyBorder="1" applyAlignment="1">
      <alignment horizontal="right" vertical="top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 wrapText="1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48" fillId="0" borderId="0" xfId="0" applyNumberFormat="1" applyFont="1" applyFill="1" applyBorder="1" applyAlignment="1">
      <alignment/>
    </xf>
    <xf numFmtId="0" fontId="48" fillId="2" borderId="0" xfId="0" applyNumberFormat="1" applyFont="1" applyFill="1" applyBorder="1" applyAlignment="1">
      <alignment vertical="top" wrapText="1"/>
    </xf>
    <xf numFmtId="0" fontId="73" fillId="2" borderId="0" xfId="0" applyNumberFormat="1" applyFont="1" applyFill="1" applyBorder="1" applyAlignment="1">
      <alignment horizontal="right" vertical="top" wrapText="1"/>
    </xf>
    <xf numFmtId="0" fontId="77" fillId="10" borderId="10" xfId="0" applyNumberFormat="1" applyFont="1" applyFill="1" applyBorder="1" applyAlignment="1">
      <alignment horizontal="center" vertical="center" wrapText="1"/>
    </xf>
    <xf numFmtId="3" fontId="77" fillId="10" borderId="1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48" fillId="6" borderId="10" xfId="0" applyNumberFormat="1" applyFont="1" applyFill="1" applyBorder="1" applyAlignment="1">
      <alignment horizontal="center" vertical="top" wrapText="1"/>
    </xf>
    <xf numFmtId="0" fontId="75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3" fontId="36" fillId="19" borderId="10" xfId="0" applyNumberFormat="1" applyFont="1" applyFill="1" applyBorder="1" applyAlignment="1">
      <alignment horizontal="right" vertical="top" wrapText="1"/>
    </xf>
    <xf numFmtId="3" fontId="36" fillId="0" borderId="10" xfId="0" applyNumberFormat="1" applyFont="1" applyBorder="1" applyAlignment="1">
      <alignment horizontal="right" vertical="top" wrapText="1"/>
    </xf>
    <xf numFmtId="0" fontId="72" fillId="2" borderId="10" xfId="0" applyNumberFormat="1" applyFont="1" applyFill="1" applyBorder="1" applyAlignment="1">
      <alignment horizontal="center" vertical="center"/>
    </xf>
    <xf numFmtId="0" fontId="48" fillId="2" borderId="10" xfId="0" applyNumberFormat="1" applyFont="1" applyFill="1" applyBorder="1" applyAlignment="1">
      <alignment horizontal="center" vertical="center"/>
    </xf>
    <xf numFmtId="3" fontId="72" fillId="2" borderId="10" xfId="0" applyNumberFormat="1" applyFont="1" applyFill="1" applyBorder="1" applyAlignment="1">
      <alignment horizontal="right" vertical="top" wrapText="1"/>
    </xf>
    <xf numFmtId="3" fontId="78" fillId="2" borderId="10" xfId="0" applyNumberFormat="1" applyFont="1" applyFill="1" applyBorder="1" applyAlignment="1">
      <alignment horizontal="right" vertical="top" wrapText="1"/>
    </xf>
    <xf numFmtId="3" fontId="48" fillId="2" borderId="10" xfId="0" applyNumberFormat="1" applyFont="1" applyFill="1" applyBorder="1" applyAlignment="1">
      <alignment horizontal="right" vertical="top" wrapText="1"/>
    </xf>
    <xf numFmtId="3" fontId="79" fillId="2" borderId="10" xfId="0" applyNumberFormat="1" applyFont="1" applyFill="1" applyBorder="1" applyAlignment="1">
      <alignment horizontal="right" vertical="top" wrapText="1"/>
    </xf>
    <xf numFmtId="3" fontId="79" fillId="2" borderId="10" xfId="0" applyNumberFormat="1" applyFont="1" applyFill="1" applyBorder="1" applyAlignment="1">
      <alignment vertical="top" wrapText="1"/>
    </xf>
    <xf numFmtId="3" fontId="48" fillId="2" borderId="10" xfId="0" applyNumberFormat="1" applyFont="1" applyFill="1" applyBorder="1" applyAlignment="1">
      <alignment vertical="top" wrapText="1"/>
    </xf>
    <xf numFmtId="4" fontId="79" fillId="2" borderId="10" xfId="0" applyNumberFormat="1" applyFont="1" applyFill="1" applyBorder="1" applyAlignment="1">
      <alignment horizontal="right" vertical="center"/>
    </xf>
    <xf numFmtId="4" fontId="79" fillId="2" borderId="10" xfId="0" applyNumberFormat="1" applyFont="1" applyFill="1" applyBorder="1" applyAlignment="1">
      <alignment vertical="center" wrapText="1"/>
    </xf>
    <xf numFmtId="3" fontId="36" fillId="0" borderId="10" xfId="0" applyNumberFormat="1" applyFont="1" applyBorder="1" applyAlignment="1">
      <alignment vertical="top" wrapText="1"/>
    </xf>
    <xf numFmtId="3" fontId="36" fillId="0" borderId="10" xfId="0" applyNumberFormat="1" applyFont="1" applyFill="1" applyBorder="1" applyAlignment="1">
      <alignment horizontal="center" vertical="top" wrapText="1"/>
    </xf>
    <xf numFmtId="1" fontId="35" fillId="0" borderId="10" xfId="0" applyNumberFormat="1" applyFont="1" applyFill="1" applyBorder="1" applyAlignment="1">
      <alignment horizontal="center" vertical="top" wrapText="1"/>
    </xf>
    <xf numFmtId="3" fontId="36" fillId="0" borderId="10" xfId="0" applyNumberFormat="1" applyFont="1" applyFill="1" applyBorder="1" applyAlignment="1">
      <alignment horizontal="left" vertical="top" wrapText="1"/>
    </xf>
    <xf numFmtId="3" fontId="36" fillId="0" borderId="10" xfId="0" applyNumberFormat="1" applyFont="1" applyFill="1" applyBorder="1" applyAlignment="1">
      <alignment horizontal="right" vertical="top" wrapText="1"/>
    </xf>
    <xf numFmtId="3" fontId="48" fillId="2" borderId="10" xfId="0" applyNumberFormat="1" applyFont="1" applyFill="1" applyBorder="1" applyAlignment="1">
      <alignment vertical="center"/>
    </xf>
    <xf numFmtId="3" fontId="72" fillId="2" borderId="10" xfId="0" applyNumberFormat="1" applyFont="1" applyFill="1" applyBorder="1" applyAlignment="1">
      <alignment horizontal="right" vertical="center"/>
    </xf>
    <xf numFmtId="3" fontId="78" fillId="2" borderId="10" xfId="0" applyNumberFormat="1" applyFont="1" applyFill="1" applyBorder="1" applyAlignment="1">
      <alignment horizontal="right" vertical="center"/>
    </xf>
    <xf numFmtId="3" fontId="48" fillId="2" borderId="10" xfId="0" applyNumberFormat="1" applyFont="1" applyFill="1" applyBorder="1" applyAlignment="1">
      <alignment horizontal="right" vertical="center"/>
    </xf>
    <xf numFmtId="3" fontId="79" fillId="2" borderId="10" xfId="0" applyNumberFormat="1" applyFont="1" applyFill="1" applyBorder="1" applyAlignment="1">
      <alignment horizontal="right" vertical="center"/>
    </xf>
    <xf numFmtId="3" fontId="79" fillId="2" borderId="10" xfId="0" applyNumberFormat="1" applyFont="1" applyFill="1" applyBorder="1" applyAlignment="1">
      <alignment vertical="center" wrapText="1"/>
    </xf>
    <xf numFmtId="0" fontId="35" fillId="0" borderId="10" xfId="0" applyFont="1" applyBorder="1" applyAlignment="1">
      <alignment/>
    </xf>
    <xf numFmtId="0" fontId="48" fillId="0" borderId="0" xfId="0" applyNumberFormat="1" applyFont="1" applyBorder="1" applyAlignment="1" applyProtection="1">
      <alignment/>
      <protection/>
    </xf>
    <xf numFmtId="0" fontId="48" fillId="2" borderId="0" xfId="0" applyNumberFormat="1" applyFont="1" applyFill="1" applyBorder="1" applyAlignment="1" applyProtection="1">
      <alignment vertical="top"/>
      <protection/>
    </xf>
    <xf numFmtId="0" fontId="73" fillId="2" borderId="0" xfId="0" applyNumberFormat="1" applyFont="1" applyFill="1" applyBorder="1" applyAlignment="1" applyProtection="1">
      <alignment horizontal="right" vertical="top"/>
      <protection/>
    </xf>
    <xf numFmtId="0" fontId="77" fillId="10" borderId="10" xfId="0" applyNumberFormat="1" applyFont="1" applyFill="1" applyBorder="1" applyAlignment="1" applyProtection="1">
      <alignment horizontal="center" vertical="center" wrapText="1"/>
      <protection/>
    </xf>
    <xf numFmtId="3" fontId="77" fillId="10" borderId="10" xfId="0" applyNumberFormat="1" applyFont="1" applyFill="1" applyBorder="1" applyAlignment="1" applyProtection="1">
      <alignment horizontal="center" vertical="center" wrapText="1"/>
      <protection/>
    </xf>
    <xf numFmtId="0" fontId="48" fillId="6" borderId="10" xfId="0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Border="1" applyAlignment="1" applyProtection="1">
      <alignment/>
      <protection/>
    </xf>
    <xf numFmtId="0" fontId="36" fillId="19" borderId="10" xfId="0" applyFont="1" applyFill="1" applyBorder="1" applyAlignment="1">
      <alignment horizontal="center" vertical="top"/>
    </xf>
    <xf numFmtId="0" fontId="36" fillId="19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 wrapText="1"/>
    </xf>
    <xf numFmtId="0" fontId="72" fillId="2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vertical="center" wrapText="1"/>
      <protection/>
    </xf>
    <xf numFmtId="3" fontId="48" fillId="2" borderId="10" xfId="0" applyNumberFormat="1" applyFont="1" applyFill="1" applyBorder="1" applyAlignment="1" applyProtection="1">
      <alignment vertical="top"/>
      <protection/>
    </xf>
    <xf numFmtId="3" fontId="48" fillId="2" borderId="10" xfId="0" applyNumberFormat="1" applyFont="1" applyFill="1" applyBorder="1" applyAlignment="1" applyProtection="1">
      <alignment horizontal="right" vertical="top"/>
      <protection/>
    </xf>
    <xf numFmtId="3" fontId="72" fillId="2" borderId="10" xfId="0" applyNumberFormat="1" applyFont="1" applyFill="1" applyBorder="1" applyAlignment="1" applyProtection="1">
      <alignment horizontal="right" vertical="top"/>
      <protection/>
    </xf>
    <xf numFmtId="3" fontId="78" fillId="2" borderId="10" xfId="0" applyNumberFormat="1" applyFont="1" applyFill="1" applyBorder="1" applyAlignment="1" applyProtection="1">
      <alignment horizontal="right" vertical="top"/>
      <protection/>
    </xf>
    <xf numFmtId="3" fontId="79" fillId="2" borderId="10" xfId="0" applyNumberFormat="1" applyFont="1" applyFill="1" applyBorder="1" applyAlignment="1" applyProtection="1">
      <alignment horizontal="right" vertical="top"/>
      <protection/>
    </xf>
    <xf numFmtId="3" fontId="48" fillId="2" borderId="10" xfId="0" applyNumberFormat="1" applyFont="1" applyFill="1" applyBorder="1" applyAlignment="1" applyProtection="1">
      <alignment vertical="top" wrapText="1"/>
      <protection/>
    </xf>
    <xf numFmtId="3" fontId="79" fillId="2" borderId="10" xfId="0" applyNumberFormat="1" applyFont="1" applyFill="1" applyBorder="1" applyAlignment="1" applyProtection="1">
      <alignment vertical="top" wrapText="1"/>
      <protection/>
    </xf>
    <xf numFmtId="0" fontId="36" fillId="0" borderId="10" xfId="0" applyFont="1" applyBorder="1" applyAlignment="1">
      <alignment vertical="top"/>
    </xf>
    <xf numFmtId="0" fontId="36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3" fontId="36" fillId="0" borderId="10" xfId="0" applyNumberFormat="1" applyFont="1" applyFill="1" applyBorder="1" applyAlignment="1">
      <alignment horizontal="right" vertical="top" wrapText="1"/>
    </xf>
    <xf numFmtId="0" fontId="35" fillId="0" borderId="10" xfId="0" applyFont="1" applyBorder="1" applyAlignment="1">
      <alignment/>
    </xf>
    <xf numFmtId="3" fontId="48" fillId="2" borderId="10" xfId="0" applyNumberFormat="1" applyFont="1" applyFill="1" applyBorder="1" applyAlignment="1">
      <alignment vertical="center"/>
    </xf>
    <xf numFmtId="3" fontId="35" fillId="0" borderId="10" xfId="0" applyNumberFormat="1" applyFont="1" applyBorder="1" applyAlignment="1">
      <alignment/>
    </xf>
    <xf numFmtId="0" fontId="57" fillId="1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NumberFormat="1" applyFont="1" applyBorder="1" applyAlignment="1" applyProtection="1">
      <alignment vertical="center"/>
      <protection/>
    </xf>
    <xf numFmtId="0" fontId="48" fillId="2" borderId="0" xfId="0" applyNumberFormat="1" applyFont="1" applyFill="1" applyBorder="1" applyAlignment="1" applyProtection="1">
      <alignment vertical="center"/>
      <protection/>
    </xf>
    <xf numFmtId="0" fontId="73" fillId="2" borderId="0" xfId="0" applyNumberFormat="1" applyFont="1" applyFill="1" applyBorder="1" applyAlignment="1" applyProtection="1">
      <alignment horizontal="right" vertical="center"/>
      <protection/>
    </xf>
    <xf numFmtId="0" fontId="74" fillId="0" borderId="0" xfId="0" applyNumberFormat="1" applyFont="1" applyBorder="1" applyAlignment="1" applyProtection="1">
      <alignment vertical="center"/>
      <protection/>
    </xf>
    <xf numFmtId="0" fontId="75" fillId="6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Border="1" applyAlignment="1" applyProtection="1">
      <alignment vertical="center"/>
      <protection/>
    </xf>
    <xf numFmtId="0" fontId="72" fillId="2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vertical="center" wrapText="1"/>
      <protection/>
    </xf>
    <xf numFmtId="3" fontId="48" fillId="2" borderId="10" xfId="0" applyNumberFormat="1" applyFont="1" applyFill="1" applyBorder="1" applyAlignment="1" applyProtection="1">
      <alignment horizontal="right" vertical="center"/>
      <protection/>
    </xf>
    <xf numFmtId="3" fontId="72" fillId="2" borderId="10" xfId="0" applyNumberFormat="1" applyFont="1" applyFill="1" applyBorder="1" applyAlignment="1" applyProtection="1">
      <alignment horizontal="right" vertical="center"/>
      <protection/>
    </xf>
    <xf numFmtId="3" fontId="78" fillId="2" borderId="10" xfId="0" applyNumberFormat="1" applyFont="1" applyFill="1" applyBorder="1" applyAlignment="1" applyProtection="1">
      <alignment horizontal="right" vertical="center"/>
      <protection/>
    </xf>
    <xf numFmtId="3" fontId="79" fillId="2" borderId="10" xfId="0" applyNumberFormat="1" applyFont="1" applyFill="1" applyBorder="1" applyAlignment="1" applyProtection="1">
      <alignment horizontal="right" vertical="center"/>
      <protection/>
    </xf>
    <xf numFmtId="3" fontId="48" fillId="2" borderId="10" xfId="0" applyNumberFormat="1" applyFont="1" applyFill="1" applyBorder="1" applyAlignment="1" applyProtection="1">
      <alignment vertical="center" wrapText="1"/>
      <protection/>
    </xf>
    <xf numFmtId="3" fontId="79" fillId="2" borderId="10" xfId="0" applyNumberFormat="1" applyFont="1" applyFill="1" applyBorder="1" applyAlignment="1" applyProtection="1">
      <alignment vertical="center" wrapText="1"/>
      <protection/>
    </xf>
    <xf numFmtId="3" fontId="35" fillId="0" borderId="0" xfId="0" applyNumberFormat="1" applyFont="1" applyAlignment="1">
      <alignment vertical="center"/>
    </xf>
    <xf numFmtId="0" fontId="83" fillId="0" borderId="0" xfId="0" applyFont="1" applyAlignment="1">
      <alignment horizontal="right" vertical="center"/>
    </xf>
    <xf numFmtId="0" fontId="56" fillId="6" borderId="10" xfId="0" applyFont="1" applyFill="1" applyBorder="1" applyAlignment="1">
      <alignment horizontal="center" vertical="center"/>
    </xf>
    <xf numFmtId="3" fontId="56" fillId="6" borderId="10" xfId="0" applyNumberFormat="1" applyFont="1" applyFill="1" applyBorder="1" applyAlignment="1">
      <alignment horizontal="center" vertical="center" wrapText="1"/>
    </xf>
    <xf numFmtId="3" fontId="56" fillId="6" borderId="10" xfId="0" applyNumberFormat="1" applyFont="1" applyFill="1" applyBorder="1" applyAlignment="1">
      <alignment horizontal="center" vertical="center"/>
    </xf>
    <xf numFmtId="3" fontId="56" fillId="6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indent="1"/>
    </xf>
    <xf numFmtId="0" fontId="35" fillId="0" borderId="10" xfId="0" applyFont="1" applyBorder="1" applyAlignment="1">
      <alignment horizontal="left" vertical="center" indent="2"/>
    </xf>
    <xf numFmtId="3" fontId="36" fillId="0" borderId="10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top"/>
    </xf>
    <xf numFmtId="0" fontId="45" fillId="0" borderId="0" xfId="0" applyFont="1" applyAlignment="1">
      <alignment vertical="top" wrapText="1"/>
    </xf>
    <xf numFmtId="3" fontId="45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right" vertical="top" wrapText="1"/>
    </xf>
    <xf numFmtId="49" fontId="84" fillId="0" borderId="0" xfId="0" applyNumberFormat="1" applyFont="1" applyBorder="1" applyAlignment="1">
      <alignment horizontal="center" vertical="top"/>
    </xf>
    <xf numFmtId="0" fontId="83" fillId="0" borderId="0" xfId="0" applyFont="1" applyAlignment="1">
      <alignment horizontal="right"/>
    </xf>
    <xf numFmtId="49" fontId="85" fillId="0" borderId="0" xfId="0" applyNumberFormat="1" applyFont="1" applyBorder="1" applyAlignment="1">
      <alignment horizontal="right" vertical="top"/>
    </xf>
    <xf numFmtId="49" fontId="56" fillId="6" borderId="10" xfId="0" applyNumberFormat="1" applyFont="1" applyFill="1" applyBorder="1" applyAlignment="1">
      <alignment horizontal="center" vertical="center"/>
    </xf>
    <xf numFmtId="3" fontId="56" fillId="6" borderId="10" xfId="0" applyNumberFormat="1" applyFont="1" applyFill="1" applyBorder="1" applyAlignment="1">
      <alignment horizontal="center" vertical="center"/>
    </xf>
    <xf numFmtId="49" fontId="36" fillId="19" borderId="10" xfId="0" applyNumberFormat="1" applyFont="1" applyFill="1" applyBorder="1" applyAlignment="1">
      <alignment horizontal="center" vertical="top"/>
    </xf>
    <xf numFmtId="2" fontId="36" fillId="19" borderId="10" xfId="0" applyNumberFormat="1" applyFont="1" applyFill="1" applyBorder="1" applyAlignment="1">
      <alignment horizontal="center" vertical="top" wrapText="1"/>
    </xf>
    <xf numFmtId="3" fontId="36" fillId="19" borderId="10" xfId="0" applyNumberFormat="1" applyFont="1" applyFill="1" applyBorder="1" applyAlignment="1">
      <alignment horizontal="center" vertical="top" wrapText="1"/>
    </xf>
    <xf numFmtId="3" fontId="36" fillId="19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49" fontId="35" fillId="0" borderId="10" xfId="0" applyNumberFormat="1" applyFont="1" applyFill="1" applyBorder="1" applyAlignment="1">
      <alignment horizontal="center" vertical="top"/>
    </xf>
    <xf numFmtId="1" fontId="36" fillId="0" borderId="1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3" fontId="36" fillId="0" borderId="10" xfId="0" applyNumberFormat="1" applyFont="1" applyFill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3" fontId="36" fillId="5" borderId="10" xfId="0" applyNumberFormat="1" applyFont="1" applyFill="1" applyBorder="1" applyAlignment="1">
      <alignment horizontal="right" vertical="top"/>
    </xf>
    <xf numFmtId="0" fontId="39" fillId="0" borderId="0" xfId="0" applyFont="1" applyAlignment="1">
      <alignment horizontal="right" vertical="top"/>
    </xf>
    <xf numFmtId="0" fontId="86" fillId="0" borderId="0" xfId="0" applyFont="1" applyAlignment="1">
      <alignment vertical="top"/>
    </xf>
    <xf numFmtId="3" fontId="45" fillId="0" borderId="0" xfId="0" applyNumberFormat="1" applyFont="1" applyBorder="1" applyAlignment="1">
      <alignment horizontal="right" vertical="top"/>
    </xf>
    <xf numFmtId="3" fontId="36" fillId="19" borderId="10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3" fontId="36" fillId="0" borderId="10" xfId="0" applyNumberFormat="1" applyFont="1" applyFill="1" applyBorder="1" applyAlignment="1">
      <alignment horizontal="justify" vertical="top"/>
    </xf>
    <xf numFmtId="3" fontId="36" fillId="0" borderId="10" xfId="0" applyNumberFormat="1" applyFont="1" applyFill="1" applyBorder="1" applyAlignment="1">
      <alignment horizontal="right" vertical="top"/>
    </xf>
    <xf numFmtId="0" fontId="35" fillId="0" borderId="10" xfId="0" applyFont="1" applyFill="1" applyBorder="1" applyAlignment="1">
      <alignment horizontal="center" vertical="top" wrapText="1"/>
    </xf>
    <xf numFmtId="3" fontId="35" fillId="0" borderId="10" xfId="0" applyNumberFormat="1" applyFont="1" applyFill="1" applyBorder="1" applyAlignment="1">
      <alignment horizontal="justify" vertical="top"/>
    </xf>
    <xf numFmtId="3" fontId="35" fillId="0" borderId="10" xfId="0" applyNumberFormat="1" applyFont="1" applyFill="1" applyBorder="1" applyAlignment="1">
      <alignment horizontal="right" vertical="top"/>
    </xf>
    <xf numFmtId="0" fontId="36" fillId="0" borderId="0" xfId="0" applyFont="1" applyAlignment="1">
      <alignment horizontal="right" vertical="top"/>
    </xf>
    <xf numFmtId="3" fontId="35" fillId="0" borderId="0" xfId="0" applyNumberFormat="1" applyFont="1" applyAlignment="1">
      <alignment vertical="top"/>
    </xf>
    <xf numFmtId="0" fontId="87" fillId="6" borderId="16" xfId="7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top"/>
    </xf>
    <xf numFmtId="0" fontId="35" fillId="2" borderId="10" xfId="0" applyFont="1" applyFill="1" applyBorder="1" applyAlignment="1">
      <alignment horizontal="left" vertical="top" wrapText="1"/>
    </xf>
    <xf numFmtId="3" fontId="35" fillId="0" borderId="10" xfId="0" applyNumberFormat="1" applyFont="1" applyBorder="1" applyAlignment="1">
      <alignment vertical="top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justify" vertical="top" wrapText="1"/>
    </xf>
    <xf numFmtId="3" fontId="36" fillId="2" borderId="10" xfId="0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center" vertical="top"/>
    </xf>
    <xf numFmtId="0" fontId="35" fillId="2" borderId="10" xfId="0" applyFont="1" applyFill="1" applyBorder="1" applyAlignment="1">
      <alignment horizontal="justify" vertical="top" wrapText="1"/>
    </xf>
    <xf numFmtId="49" fontId="36" fillId="19" borderId="10" xfId="0" applyNumberFormat="1" applyFont="1" applyFill="1" applyBorder="1" applyAlignment="1">
      <alignment horizontal="center" vertical="top"/>
    </xf>
    <xf numFmtId="3" fontId="36" fillId="19" borderId="10" xfId="0" applyNumberFormat="1" applyFont="1" applyFill="1" applyBorder="1" applyAlignment="1">
      <alignment horizontal="center" vertical="top" wrapText="1"/>
    </xf>
    <xf numFmtId="3" fontId="36" fillId="19" borderId="10" xfId="0" applyNumberFormat="1" applyFont="1" applyFill="1" applyBorder="1" applyAlignment="1">
      <alignment vertical="top" wrapText="1"/>
    </xf>
    <xf numFmtId="49" fontId="35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3" fontId="35" fillId="0" borderId="10" xfId="0" applyNumberFormat="1" applyFont="1" applyBorder="1" applyAlignment="1">
      <alignment vertical="top" wrapText="1"/>
    </xf>
    <xf numFmtId="3" fontId="36" fillId="5" borderId="10" xfId="0" applyNumberFormat="1" applyFont="1" applyFill="1" applyBorder="1" applyAlignment="1">
      <alignment horizontal="right" vertical="top"/>
    </xf>
    <xf numFmtId="49" fontId="64" fillId="0" borderId="0" xfId="0" applyNumberFormat="1" applyFont="1" applyBorder="1" applyAlignment="1">
      <alignment horizontal="center" vertical="top"/>
    </xf>
    <xf numFmtId="49" fontId="59" fillId="0" borderId="0" xfId="0" applyNumberFormat="1" applyFont="1" applyBorder="1" applyAlignment="1">
      <alignment horizontal="right" vertical="top"/>
    </xf>
    <xf numFmtId="49" fontId="56" fillId="6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35" fillId="0" borderId="10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3" fontId="35" fillId="2" borderId="10" xfId="0" applyNumberFormat="1" applyFont="1" applyFill="1" applyBorder="1" applyAlignment="1">
      <alignment horizontal="right" vertical="top"/>
    </xf>
    <xf numFmtId="3" fontId="35" fillId="0" borderId="10" xfId="0" applyNumberFormat="1" applyFont="1" applyBorder="1" applyAlignment="1">
      <alignment horizontal="justify" vertical="top" wrapText="1"/>
    </xf>
    <xf numFmtId="3" fontId="36" fillId="0" borderId="10" xfId="0" applyNumberFormat="1" applyFont="1" applyBorder="1" applyAlignment="1">
      <alignment horizontal="justify" vertical="top" wrapText="1"/>
    </xf>
    <xf numFmtId="3" fontId="36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49" fontId="35" fillId="2" borderId="0" xfId="0" applyNumberFormat="1" applyFont="1" applyFill="1" applyAlignment="1">
      <alignment vertical="center"/>
    </xf>
    <xf numFmtId="3" fontId="55" fillId="2" borderId="0" xfId="0" applyNumberFormat="1" applyFont="1" applyFill="1" applyAlignment="1">
      <alignment horizontal="right"/>
    </xf>
    <xf numFmtId="0" fontId="36" fillId="2" borderId="0" xfId="0" applyFont="1" applyFill="1" applyBorder="1" applyAlignment="1">
      <alignment horizontal="left" vertical="center"/>
    </xf>
    <xf numFmtId="49" fontId="36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right"/>
    </xf>
    <xf numFmtId="3" fontId="57" fillId="0" borderId="0" xfId="0" applyNumberFormat="1" applyFont="1" applyAlignment="1">
      <alignment horizontal="right"/>
    </xf>
    <xf numFmtId="0" fontId="35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49" fontId="35" fillId="0" borderId="0" xfId="0" applyNumberFormat="1" applyFont="1" applyAlignment="1">
      <alignment horizontal="center" vertical="center"/>
    </xf>
    <xf numFmtId="0" fontId="35" fillId="6" borderId="10" xfId="0" applyFont="1" applyFill="1" applyBorder="1" applyAlignment="1">
      <alignment horizontal="left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/>
    </xf>
    <xf numFmtId="0" fontId="35" fillId="0" borderId="0" xfId="71" applyFont="1" applyAlignment="1">
      <alignment vertical="center"/>
      <protection/>
    </xf>
    <xf numFmtId="0" fontId="57" fillId="0" borderId="0" xfId="71" applyFont="1" applyAlignment="1">
      <alignment horizontal="right" vertical="center"/>
      <protection/>
    </xf>
    <xf numFmtId="0" fontId="52" fillId="0" borderId="0" xfId="71" applyFont="1" applyAlignment="1">
      <alignment vertical="top" wrapText="1"/>
      <protection/>
    </xf>
    <xf numFmtId="0" fontId="35" fillId="0" borderId="0" xfId="71" applyFont="1" applyAlignment="1">
      <alignment vertical="top"/>
      <protection/>
    </xf>
    <xf numFmtId="0" fontId="57" fillId="0" borderId="0" xfId="71" applyFont="1" applyAlignment="1">
      <alignment horizontal="right"/>
      <protection/>
    </xf>
    <xf numFmtId="0" fontId="36" fillId="6" borderId="16" xfId="71" applyFont="1" applyFill="1" applyBorder="1" applyAlignment="1">
      <alignment horizontal="center" vertical="center"/>
      <protection/>
    </xf>
    <xf numFmtId="0" fontId="36" fillId="6" borderId="16" xfId="71" applyFont="1" applyFill="1" applyBorder="1" applyAlignment="1">
      <alignment horizontal="center" vertical="center" wrapText="1"/>
      <protection/>
    </xf>
    <xf numFmtId="0" fontId="35" fillId="0" borderId="16" xfId="71" applyFont="1" applyBorder="1" applyAlignment="1">
      <alignment horizontal="center" vertical="center"/>
      <protection/>
    </xf>
    <xf numFmtId="3" fontId="35" fillId="0" borderId="16" xfId="71" applyNumberFormat="1" applyFont="1" applyBorder="1" applyAlignment="1">
      <alignment vertical="center"/>
      <protection/>
    </xf>
    <xf numFmtId="0" fontId="35" fillId="0" borderId="17" xfId="71" applyFont="1" applyBorder="1" applyAlignment="1">
      <alignment horizontal="center" vertical="center"/>
      <protection/>
    </xf>
    <xf numFmtId="0" fontId="35" fillId="0" borderId="17" xfId="71" applyFont="1" applyBorder="1" applyAlignment="1">
      <alignment vertical="center"/>
      <protection/>
    </xf>
    <xf numFmtId="3" fontId="35" fillId="0" borderId="17" xfId="71" applyNumberFormat="1" applyFont="1" applyBorder="1" applyAlignment="1">
      <alignment vertical="center"/>
      <protection/>
    </xf>
    <xf numFmtId="0" fontId="35" fillId="0" borderId="18" xfId="71" applyFont="1" applyBorder="1" applyAlignment="1">
      <alignment horizontal="center" vertical="center"/>
      <protection/>
    </xf>
    <xf numFmtId="0" fontId="35" fillId="0" borderId="18" xfId="71" applyFont="1" applyBorder="1" applyAlignment="1">
      <alignment vertical="center"/>
      <protection/>
    </xf>
    <xf numFmtId="3" fontId="35" fillId="0" borderId="18" xfId="71" applyNumberFormat="1" applyFont="1" applyBorder="1" applyAlignment="1">
      <alignment vertical="center"/>
      <protection/>
    </xf>
    <xf numFmtId="0" fontId="35" fillId="0" borderId="18" xfId="71" applyFont="1" applyBorder="1" applyAlignment="1">
      <alignment vertical="center" wrapText="1"/>
      <protection/>
    </xf>
    <xf numFmtId="0" fontId="35" fillId="0" borderId="19" xfId="71" applyFont="1" applyBorder="1" applyAlignment="1">
      <alignment vertical="center"/>
      <protection/>
    </xf>
    <xf numFmtId="0" fontId="35" fillId="0" borderId="19" xfId="71" applyFont="1" applyBorder="1" applyAlignment="1">
      <alignment horizontal="center" vertical="center"/>
      <protection/>
    </xf>
    <xf numFmtId="3" fontId="35" fillId="0" borderId="19" xfId="71" applyNumberFormat="1" applyFont="1" applyBorder="1" applyAlignment="1">
      <alignment vertical="center"/>
      <protection/>
    </xf>
    <xf numFmtId="0" fontId="35" fillId="0" borderId="0" xfId="71" applyFont="1" applyBorder="1" applyAlignment="1">
      <alignment horizontal="center" vertical="center"/>
      <protection/>
    </xf>
    <xf numFmtId="0" fontId="35" fillId="0" borderId="0" xfId="71" applyFont="1" applyBorder="1" applyAlignment="1">
      <alignment vertical="center"/>
      <protection/>
    </xf>
    <xf numFmtId="0" fontId="89" fillId="0" borderId="0" xfId="71" applyFont="1">
      <alignment/>
      <protection/>
    </xf>
    <xf numFmtId="0" fontId="89" fillId="0" borderId="0" xfId="71" applyFont="1" applyAlignment="1">
      <alignment vertical="center"/>
      <protection/>
    </xf>
    <xf numFmtId="0" fontId="35" fillId="0" borderId="0" xfId="71" applyFont="1">
      <alignment/>
      <protection/>
    </xf>
    <xf numFmtId="0" fontId="35" fillId="0" borderId="0" xfId="71" applyFont="1" applyAlignment="1">
      <alignment horizontal="right"/>
      <protection/>
    </xf>
    <xf numFmtId="0" fontId="52" fillId="0" borderId="0" xfId="71" applyFont="1" applyBorder="1" applyAlignment="1">
      <alignment horizontal="right" vertical="top" wrapText="1"/>
      <protection/>
    </xf>
    <xf numFmtId="0" fontId="36" fillId="0" borderId="0" xfId="71" applyFont="1" applyBorder="1" applyAlignment="1">
      <alignment horizontal="center" vertical="center" wrapText="1"/>
      <protection/>
    </xf>
    <xf numFmtId="0" fontId="36" fillId="6" borderId="10" xfId="71" applyFont="1" applyFill="1" applyBorder="1" applyAlignment="1">
      <alignment horizontal="center" vertical="center" wrapText="1"/>
      <protection/>
    </xf>
    <xf numFmtId="0" fontId="59" fillId="0" borderId="0" xfId="71" applyFont="1">
      <alignment/>
      <protection/>
    </xf>
    <xf numFmtId="0" fontId="58" fillId="0" borderId="10" xfId="71" applyFont="1" applyBorder="1" applyAlignment="1">
      <alignment horizontal="center" vertical="center" wrapText="1"/>
      <protection/>
    </xf>
    <xf numFmtId="0" fontId="57" fillId="0" borderId="0" xfId="71" applyFont="1">
      <alignment/>
      <protection/>
    </xf>
    <xf numFmtId="3" fontId="64" fillId="0" borderId="10" xfId="71" applyNumberFormat="1" applyFont="1" applyBorder="1" applyAlignment="1">
      <alignment horizontal="right" vertical="center" wrapText="1"/>
      <protection/>
    </xf>
    <xf numFmtId="3" fontId="64" fillId="0" borderId="10" xfId="0" applyNumberFormat="1" applyFont="1" applyBorder="1" applyAlignment="1">
      <alignment horizontal="right" vertical="center" wrapText="1"/>
    </xf>
    <xf numFmtId="0" fontId="64" fillId="0" borderId="0" xfId="71" applyFont="1">
      <alignment/>
      <protection/>
    </xf>
    <xf numFmtId="0" fontId="36" fillId="2" borderId="10" xfId="0" applyFont="1" applyFill="1" applyBorder="1" applyAlignment="1">
      <alignment horizontal="left" vertical="top" wrapText="1"/>
    </xf>
    <xf numFmtId="3" fontId="36" fillId="2" borderId="10" xfId="71" applyNumberFormat="1" applyFont="1" applyFill="1" applyBorder="1" applyAlignment="1">
      <alignment vertical="top" wrapText="1"/>
      <protection/>
    </xf>
    <xf numFmtId="3" fontId="36" fillId="2" borderId="10" xfId="0" applyNumberFormat="1" applyFont="1" applyFill="1" applyBorder="1" applyAlignment="1">
      <alignment vertical="top" wrapText="1"/>
    </xf>
    <xf numFmtId="0" fontId="35" fillId="2" borderId="10" xfId="0" applyFont="1" applyFill="1" applyBorder="1" applyAlignment="1">
      <alignment horizontal="left" vertical="top" wrapText="1"/>
    </xf>
    <xf numFmtId="3" fontId="35" fillId="2" borderId="10" xfId="71" applyNumberFormat="1" applyFont="1" applyFill="1" applyBorder="1" applyAlignment="1">
      <alignment vertical="top" wrapText="1"/>
      <protection/>
    </xf>
    <xf numFmtId="3" fontId="59" fillId="2" borderId="10" xfId="71" applyNumberFormat="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/>
    </xf>
    <xf numFmtId="3" fontId="35" fillId="2" borderId="10" xfId="0" applyNumberFormat="1" applyFont="1" applyFill="1" applyBorder="1" applyAlignment="1">
      <alignment vertical="top" wrapText="1"/>
    </xf>
    <xf numFmtId="0" fontId="35" fillId="2" borderId="0" xfId="0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left" vertical="top" wrapText="1"/>
    </xf>
    <xf numFmtId="3" fontId="35" fillId="2" borderId="0" xfId="71" applyNumberFormat="1" applyFont="1" applyFill="1" applyBorder="1" applyAlignment="1">
      <alignment vertical="top" wrapText="1"/>
      <protection/>
    </xf>
    <xf numFmtId="3" fontId="35" fillId="2" borderId="0" xfId="0" applyNumberFormat="1" applyFont="1" applyFill="1" applyBorder="1" applyAlignment="1">
      <alignment horizontal="right" vertical="top"/>
    </xf>
    <xf numFmtId="2" fontId="36" fillId="2" borderId="10" xfId="0" applyNumberFormat="1" applyFont="1" applyFill="1" applyBorder="1" applyAlignment="1">
      <alignment horizontal="center" vertical="top"/>
    </xf>
    <xf numFmtId="2" fontId="36" fillId="2" borderId="10" xfId="0" applyNumberFormat="1" applyFont="1" applyFill="1" applyBorder="1" applyAlignment="1">
      <alignment horizontal="center" vertical="top" wrapText="1"/>
    </xf>
    <xf numFmtId="0" fontId="35" fillId="2" borderId="10" xfId="0" applyFont="1" applyFill="1" applyBorder="1" applyAlignment="1">
      <alignment vertical="top" wrapText="1"/>
    </xf>
    <xf numFmtId="3" fontId="35" fillId="2" borderId="10" xfId="71" applyNumberFormat="1" applyFont="1" applyFill="1" applyBorder="1" applyAlignment="1">
      <alignment horizontal="right" vertical="center" wrapText="1"/>
      <protection/>
    </xf>
    <xf numFmtId="2" fontId="35" fillId="0" borderId="10" xfId="0" applyNumberFormat="1" applyFont="1" applyBorder="1" applyAlignment="1">
      <alignment horizontal="center" vertical="top"/>
    </xf>
    <xf numFmtId="2" fontId="35" fillId="0" borderId="10" xfId="0" applyNumberFormat="1" applyFont="1" applyBorder="1" applyAlignment="1">
      <alignment vertical="top" wrapText="1"/>
    </xf>
    <xf numFmtId="3" fontId="36" fillId="0" borderId="10" xfId="71" applyNumberFormat="1" applyFont="1" applyBorder="1" applyAlignment="1">
      <alignment horizontal="right" vertical="center" wrapText="1"/>
      <protection/>
    </xf>
    <xf numFmtId="3" fontId="35" fillId="0" borderId="10" xfId="71" applyNumberFormat="1" applyFont="1" applyBorder="1" applyAlignment="1">
      <alignment horizontal="right" vertical="center" wrapText="1"/>
      <protection/>
    </xf>
    <xf numFmtId="3" fontId="36" fillId="0" borderId="10" xfId="71" applyNumberFormat="1" applyFont="1" applyBorder="1" applyAlignment="1">
      <alignment horizontal="center" vertical="center" wrapText="1"/>
      <protection/>
    </xf>
    <xf numFmtId="49" fontId="52" fillId="0" borderId="20" xfId="0" applyNumberFormat="1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right"/>
    </xf>
    <xf numFmtId="0" fontId="52" fillId="0" borderId="21" xfId="0" applyFont="1" applyBorder="1" applyAlignment="1">
      <alignment/>
    </xf>
    <xf numFmtId="0" fontId="52" fillId="12" borderId="10" xfId="0" applyFont="1" applyFill="1" applyBorder="1" applyAlignment="1">
      <alignment horizontal="center" vertical="center" wrapText="1"/>
    </xf>
    <xf numFmtId="3" fontId="52" fillId="12" borderId="10" xfId="0" applyNumberFormat="1" applyFont="1" applyFill="1" applyBorder="1" applyAlignment="1">
      <alignment horizontal="center" vertical="center" wrapText="1"/>
    </xf>
    <xf numFmtId="3" fontId="52" fillId="12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2" fillId="0" borderId="10" xfId="0" applyNumberFormat="1" applyFont="1" applyFill="1" applyBorder="1" applyAlignment="1">
      <alignment horizontal="right" wrapText="1"/>
    </xf>
    <xf numFmtId="3" fontId="52" fillId="0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right"/>
    </xf>
    <xf numFmtId="4" fontId="52" fillId="0" borderId="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90" fillId="0" borderId="0" xfId="0" applyFont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52" fillId="0" borderId="10" xfId="0" applyNumberFormat="1" applyFont="1" applyBorder="1" applyAlignment="1">
      <alignment horizontal="right" wrapText="1"/>
    </xf>
    <xf numFmtId="1" fontId="74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 horizontal="right"/>
    </xf>
    <xf numFmtId="49" fontId="52" fillId="0" borderId="22" xfId="0" applyNumberFormat="1" applyFont="1" applyBorder="1" applyAlignment="1">
      <alignment/>
    </xf>
    <xf numFmtId="1" fontId="74" fillId="0" borderId="23" xfId="0" applyNumberFormat="1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3" fontId="52" fillId="0" borderId="25" xfId="0" applyNumberFormat="1" applyFont="1" applyBorder="1" applyAlignment="1">
      <alignment horizontal="center" vertical="center" wrapText="1"/>
    </xf>
    <xf numFmtId="3" fontId="52" fillId="0" borderId="26" xfId="0" applyNumberFormat="1" applyFont="1" applyFill="1" applyBorder="1" applyAlignment="1">
      <alignment horizontal="center"/>
    </xf>
    <xf numFmtId="3" fontId="52" fillId="0" borderId="26" xfId="0" applyNumberFormat="1" applyFont="1" applyFill="1" applyBorder="1" applyAlignment="1">
      <alignment horizontal="right"/>
    </xf>
    <xf numFmtId="3" fontId="52" fillId="0" borderId="27" xfId="0" applyNumberFormat="1" applyFont="1" applyFill="1" applyBorder="1" applyAlignment="1">
      <alignment horizontal="right"/>
    </xf>
    <xf numFmtId="1" fontId="74" fillId="0" borderId="16" xfId="0" applyNumberFormat="1" applyFont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 wrapText="1"/>
    </xf>
    <xf numFmtId="3" fontId="52" fillId="0" borderId="29" xfId="0" applyNumberFormat="1" applyFont="1" applyBorder="1" applyAlignment="1">
      <alignment horizontal="center" vertical="center" wrapText="1"/>
    </xf>
    <xf numFmtId="3" fontId="52" fillId="0" borderId="23" xfId="0" applyNumberFormat="1" applyFont="1" applyFill="1" applyBorder="1" applyAlignment="1">
      <alignment horizontal="center"/>
    </xf>
    <xf numFmtId="3" fontId="52" fillId="0" borderId="23" xfId="0" applyNumberFormat="1" applyFont="1" applyFill="1" applyBorder="1" applyAlignment="1">
      <alignment horizontal="right"/>
    </xf>
    <xf numFmtId="3" fontId="52" fillId="0" borderId="30" xfId="0" applyNumberFormat="1" applyFont="1" applyFill="1" applyBorder="1" applyAlignment="1">
      <alignment horizontal="right"/>
    </xf>
    <xf numFmtId="3" fontId="52" fillId="0" borderId="16" xfId="0" applyNumberFormat="1" applyFont="1" applyFill="1" applyBorder="1" applyAlignment="1">
      <alignment horizontal="center"/>
    </xf>
    <xf numFmtId="3" fontId="52" fillId="0" borderId="16" xfId="0" applyNumberFormat="1" applyFont="1" applyFill="1" applyBorder="1" applyAlignment="1">
      <alignment horizontal="right"/>
    </xf>
    <xf numFmtId="3" fontId="52" fillId="0" borderId="31" xfId="0" applyNumberFormat="1" applyFont="1" applyFill="1" applyBorder="1" applyAlignment="1">
      <alignment horizontal="right"/>
    </xf>
    <xf numFmtId="0" fontId="52" fillId="0" borderId="32" xfId="0" applyFont="1" applyFill="1" applyBorder="1" applyAlignment="1">
      <alignment horizontal="center" vertical="center" wrapText="1"/>
    </xf>
    <xf numFmtId="3" fontId="52" fillId="0" borderId="33" xfId="0" applyNumberFormat="1" applyFont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/>
    </xf>
    <xf numFmtId="3" fontId="52" fillId="0" borderId="34" xfId="0" applyNumberFormat="1" applyFont="1" applyFill="1" applyBorder="1" applyAlignment="1">
      <alignment horizontal="right"/>
    </xf>
    <xf numFmtId="3" fontId="52" fillId="0" borderId="35" xfId="0" applyNumberFormat="1" applyFont="1" applyFill="1" applyBorder="1" applyAlignment="1">
      <alignment horizontal="right"/>
    </xf>
    <xf numFmtId="3" fontId="52" fillId="0" borderId="36" xfId="0" applyNumberFormat="1" applyFont="1" applyFill="1" applyBorder="1" applyAlignment="1">
      <alignment horizontal="right"/>
    </xf>
    <xf numFmtId="49" fontId="52" fillId="0" borderId="0" xfId="0" applyNumberFormat="1" applyFont="1" applyBorder="1" applyAlignment="1">
      <alignment/>
    </xf>
    <xf numFmtId="0" fontId="91" fillId="0" borderId="37" xfId="0" applyFont="1" applyBorder="1" applyAlignment="1">
      <alignment vertical="center" wrapText="1"/>
    </xf>
    <xf numFmtId="3" fontId="52" fillId="0" borderId="37" xfId="0" applyNumberFormat="1" applyFont="1" applyBorder="1" applyAlignment="1">
      <alignment horizontal="left" vertical="center" wrapText="1"/>
    </xf>
    <xf numFmtId="3" fontId="52" fillId="0" borderId="37" xfId="0" applyNumberFormat="1" applyFont="1" applyFill="1" applyBorder="1" applyAlignment="1">
      <alignment horizontal="center"/>
    </xf>
    <xf numFmtId="3" fontId="52" fillId="0" borderId="37" xfId="0" applyNumberFormat="1" applyFont="1" applyFill="1" applyBorder="1" applyAlignment="1">
      <alignment horizontal="right"/>
    </xf>
    <xf numFmtId="0" fontId="91" fillId="0" borderId="0" xfId="0" applyFont="1" applyBorder="1" applyAlignment="1">
      <alignment vertical="center" wrapText="1"/>
    </xf>
    <xf numFmtId="3" fontId="91" fillId="0" borderId="0" xfId="0" applyNumberFormat="1" applyFont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right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3" fontId="74" fillId="0" borderId="0" xfId="0" applyNumberFormat="1" applyFont="1" applyBorder="1" applyAlignment="1">
      <alignment/>
    </xf>
    <xf numFmtId="3" fontId="74" fillId="0" borderId="0" xfId="0" applyNumberFormat="1" applyFont="1" applyBorder="1" applyAlignment="1">
      <alignment horizontal="center"/>
    </xf>
    <xf numFmtId="4" fontId="52" fillId="0" borderId="0" xfId="0" applyNumberFormat="1" applyFont="1" applyBorder="1" applyAlignment="1">
      <alignment vertical="center" wrapText="1"/>
    </xf>
    <xf numFmtId="3" fontId="90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vertical="top"/>
    </xf>
    <xf numFmtId="3" fontId="52" fillId="0" borderId="0" xfId="0" applyNumberFormat="1" applyFont="1" applyBorder="1" applyAlignment="1">
      <alignment horizontal="right" wrapText="1"/>
    </xf>
    <xf numFmtId="0" fontId="52" fillId="0" borderId="20" xfId="0" applyFont="1" applyBorder="1" applyAlignment="1">
      <alignment/>
    </xf>
    <xf numFmtId="0" fontId="52" fillId="0" borderId="0" xfId="0" applyFont="1" applyBorder="1" applyAlignment="1">
      <alignment horizontal="left"/>
    </xf>
    <xf numFmtId="3" fontId="52" fillId="0" borderId="0" xfId="0" applyNumberFormat="1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3" fontId="52" fillId="0" borderId="10" xfId="0" applyNumberFormat="1" applyFont="1" applyFill="1" applyBorder="1" applyAlignment="1">
      <alignment horizontal="right" wrapText="1"/>
    </xf>
    <xf numFmtId="3" fontId="52" fillId="0" borderId="10" xfId="0" applyNumberFormat="1" applyFont="1" applyFill="1" applyBorder="1" applyAlignment="1">
      <alignment horizontal="center"/>
    </xf>
    <xf numFmtId="3" fontId="52" fillId="0" borderId="10" xfId="0" applyNumberFormat="1" applyFont="1" applyBorder="1" applyAlignment="1">
      <alignment horizontal="right" wrapText="1"/>
    </xf>
    <xf numFmtId="3" fontId="67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87" fillId="0" borderId="0" xfId="0" applyFont="1" applyAlignment="1">
      <alignment/>
    </xf>
    <xf numFmtId="3" fontId="52" fillId="0" borderId="37" xfId="0" applyNumberFormat="1" applyFont="1" applyBorder="1" applyAlignment="1">
      <alignment horizontal="right" vertical="center" wrapText="1"/>
    </xf>
    <xf numFmtId="4" fontId="52" fillId="0" borderId="37" xfId="0" applyNumberFormat="1" applyFont="1" applyFill="1" applyBorder="1" applyAlignment="1">
      <alignment horizontal="center" wrapText="1"/>
    </xf>
    <xf numFmtId="3" fontId="52" fillId="0" borderId="37" xfId="0" applyNumberFormat="1" applyFont="1" applyFill="1" applyBorder="1" applyAlignment="1">
      <alignment horizontal="right" wrapText="1"/>
    </xf>
    <xf numFmtId="3" fontId="91" fillId="0" borderId="0" xfId="0" applyNumberFormat="1" applyFont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wrapText="1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Border="1" applyAlignment="1">
      <alignment horizontal="left" wrapText="1"/>
    </xf>
    <xf numFmtId="0" fontId="91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3" fontId="90" fillId="0" borderId="0" xfId="0" applyNumberFormat="1" applyFont="1" applyBorder="1" applyAlignment="1">
      <alignment wrapText="1"/>
    </xf>
    <xf numFmtId="0" fontId="90" fillId="0" borderId="0" xfId="0" applyFont="1" applyBorder="1" applyAlignment="1">
      <alignment horizontal="center" wrapText="1"/>
    </xf>
    <xf numFmtId="3" fontId="90" fillId="0" borderId="0" xfId="0" applyNumberFormat="1" applyFont="1" applyBorder="1" applyAlignment="1">
      <alignment horizontal="right" wrapText="1"/>
    </xf>
    <xf numFmtId="0" fontId="90" fillId="0" borderId="0" xfId="0" applyFont="1" applyBorder="1" applyAlignment="1">
      <alignment horizontal="left"/>
    </xf>
    <xf numFmtId="4" fontId="52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49" fontId="52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center" vertical="center" wrapText="1"/>
    </xf>
    <xf numFmtId="49" fontId="39" fillId="12" borderId="1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56" fillId="6" borderId="10" xfId="0" applyNumberFormat="1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right" vertical="center"/>
    </xf>
    <xf numFmtId="49" fontId="36" fillId="6" borderId="15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6" fillId="12" borderId="1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36" fillId="12" borderId="10" xfId="0" applyFont="1" applyFill="1" applyBorder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 wrapText="1"/>
    </xf>
    <xf numFmtId="49" fontId="44" fillId="6" borderId="10" xfId="0" applyNumberFormat="1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49" fontId="36" fillId="6" borderId="10" xfId="0" applyNumberFormat="1" applyFont="1" applyFill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49" fontId="52" fillId="2" borderId="0" xfId="0" applyNumberFormat="1" applyFont="1" applyFill="1" applyBorder="1" applyAlignment="1">
      <alignment horizontal="right" vertical="center" wrapText="1"/>
    </xf>
    <xf numFmtId="49" fontId="53" fillId="2" borderId="0" xfId="0" applyNumberFormat="1" applyFont="1" applyFill="1" applyBorder="1" applyAlignment="1">
      <alignment horizontal="center" vertical="center" wrapText="1"/>
    </xf>
    <xf numFmtId="49" fontId="35" fillId="2" borderId="0" xfId="0" applyNumberFormat="1" applyFont="1" applyFill="1" applyBorder="1" applyAlignment="1">
      <alignment horizontal="left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3" fontId="45" fillId="10" borderId="10" xfId="0" applyNumberFormat="1" applyFont="1" applyFill="1" applyBorder="1" applyAlignment="1">
      <alignment horizontal="center" vertical="center" wrapText="1"/>
    </xf>
    <xf numFmtId="3" fontId="44" fillId="10" borderId="10" xfId="0" applyNumberFormat="1" applyFont="1" applyFill="1" applyBorder="1" applyAlignment="1">
      <alignment horizontal="center" vertical="center" wrapText="1"/>
    </xf>
    <xf numFmtId="3" fontId="44" fillId="10" borderId="10" xfId="0" applyNumberFormat="1" applyFont="1" applyFill="1" applyBorder="1" applyAlignment="1">
      <alignment horizontal="center" vertical="top" wrapText="1"/>
    </xf>
    <xf numFmtId="3" fontId="68" fillId="10" borderId="10" xfId="0" applyNumberFormat="1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horizontal="right" vertical="center" wrapText="1"/>
    </xf>
    <xf numFmtId="0" fontId="36" fillId="6" borderId="1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top"/>
    </xf>
    <xf numFmtId="0" fontId="56" fillId="10" borderId="10" xfId="0" applyFont="1" applyFill="1" applyBorder="1" applyAlignment="1">
      <alignment horizontal="center" vertical="center"/>
    </xf>
    <xf numFmtId="3" fontId="56" fillId="10" borderId="10" xfId="0" applyNumberFormat="1" applyFont="1" applyFill="1" applyBorder="1" applyAlignment="1">
      <alignment horizontal="center" vertical="center"/>
    </xf>
    <xf numFmtId="3" fontId="56" fillId="1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top"/>
    </xf>
    <xf numFmtId="0" fontId="53" fillId="0" borderId="0" xfId="0" applyFont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center" vertical="center"/>
    </xf>
    <xf numFmtId="0" fontId="56" fillId="12" borderId="1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3" fontId="56" fillId="12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49" fontId="53" fillId="2" borderId="0" xfId="0" applyNumberFormat="1" applyFont="1" applyFill="1" applyBorder="1" applyAlignment="1">
      <alignment horizontal="center" vertical="center" wrapText="1"/>
    </xf>
    <xf numFmtId="49" fontId="56" fillId="6" borderId="10" xfId="0" applyNumberFormat="1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top" wrapText="1"/>
    </xf>
    <xf numFmtId="49" fontId="53" fillId="0" borderId="0" xfId="0" applyNumberFormat="1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4" fillId="6" borderId="10" xfId="0" applyNumberFormat="1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49" fontId="36" fillId="6" borderId="10" xfId="0" applyNumberFormat="1" applyFont="1" applyFill="1" applyBorder="1" applyAlignment="1">
      <alignment horizontal="right" vertical="top"/>
    </xf>
    <xf numFmtId="0" fontId="58" fillId="0" borderId="12" xfId="0" applyFont="1" applyBorder="1" applyAlignment="1">
      <alignment horizontal="right" vertical="top"/>
    </xf>
    <xf numFmtId="0" fontId="44" fillId="6" borderId="10" xfId="0" applyFont="1" applyFill="1" applyBorder="1" applyAlignment="1">
      <alignment horizontal="center" vertical="center"/>
    </xf>
    <xf numFmtId="49" fontId="74" fillId="2" borderId="0" xfId="0" applyNumberFormat="1" applyFont="1" applyFill="1" applyBorder="1" applyAlignment="1">
      <alignment horizontal="right" vertical="center" wrapText="1"/>
    </xf>
    <xf numFmtId="49" fontId="76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49" fontId="77" fillId="12" borderId="10" xfId="0" applyNumberFormat="1" applyFont="1" applyFill="1" applyBorder="1" applyAlignment="1">
      <alignment horizontal="center" vertical="center" wrapText="1"/>
    </xf>
    <xf numFmtId="0" fontId="77" fillId="12" borderId="10" xfId="0" applyNumberFormat="1" applyFont="1" applyFill="1" applyBorder="1" applyAlignment="1">
      <alignment horizontal="center" vertical="center" wrapText="1"/>
    </xf>
    <xf numFmtId="3" fontId="77" fillId="12" borderId="10" xfId="0" applyNumberFormat="1" applyFont="1" applyFill="1" applyBorder="1" applyAlignment="1">
      <alignment horizontal="left" vertical="center" wrapText="1"/>
    </xf>
    <xf numFmtId="3" fontId="77" fillId="12" borderId="10" xfId="0" applyNumberFormat="1" applyFont="1" applyFill="1" applyBorder="1" applyAlignment="1">
      <alignment horizontal="center" vertical="center" wrapText="1"/>
    </xf>
    <xf numFmtId="3" fontId="48" fillId="2" borderId="0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Border="1" applyAlignment="1">
      <alignment horizontal="right" vertical="center"/>
    </xf>
    <xf numFmtId="49" fontId="35" fillId="2" borderId="0" xfId="0" applyNumberFormat="1" applyFont="1" applyFill="1" applyBorder="1" applyAlignment="1">
      <alignment horizontal="left" vertical="center" wrapText="1"/>
    </xf>
    <xf numFmtId="0" fontId="67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67" fillId="10" borderId="10" xfId="0" applyFont="1" applyFill="1" applyBorder="1" applyAlignment="1">
      <alignment horizontal="center" vertical="center"/>
    </xf>
    <xf numFmtId="49" fontId="74" fillId="2" borderId="0" xfId="0" applyNumberFormat="1" applyFont="1" applyFill="1" applyBorder="1" applyAlignment="1" applyProtection="1">
      <alignment horizontal="right" vertical="top" wrapText="1"/>
      <protection/>
    </xf>
    <xf numFmtId="49" fontId="76" fillId="2" borderId="0" xfId="0" applyNumberFormat="1" applyFont="1" applyFill="1" applyBorder="1" applyAlignment="1" applyProtection="1">
      <alignment horizontal="center" vertical="top" wrapText="1"/>
      <protection/>
    </xf>
    <xf numFmtId="49" fontId="48" fillId="2" borderId="0" xfId="0" applyNumberFormat="1" applyFont="1" applyFill="1" applyBorder="1" applyAlignment="1" applyProtection="1">
      <alignment horizontal="left" vertical="top" wrapText="1"/>
      <protection/>
    </xf>
    <xf numFmtId="49" fontId="77" fillId="12" borderId="10" xfId="0" applyNumberFormat="1" applyFont="1" applyFill="1" applyBorder="1" applyAlignment="1" applyProtection="1">
      <alignment horizontal="center" vertical="center" wrapText="1"/>
      <protection/>
    </xf>
    <xf numFmtId="0" fontId="77" fillId="12" borderId="10" xfId="0" applyNumberFormat="1" applyFont="1" applyFill="1" applyBorder="1" applyAlignment="1" applyProtection="1">
      <alignment horizontal="center" vertical="center" wrapText="1"/>
      <protection/>
    </xf>
    <xf numFmtId="3" fontId="77" fillId="12" borderId="10" xfId="0" applyNumberFormat="1" applyFont="1" applyFill="1" applyBorder="1" applyAlignment="1" applyProtection="1">
      <alignment horizontal="center" vertical="center" wrapText="1"/>
      <protection/>
    </xf>
    <xf numFmtId="3" fontId="77" fillId="12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7" fillId="10" borderId="10" xfId="0" applyFont="1" applyFill="1" applyBorder="1" applyAlignment="1">
      <alignment horizontal="left" vertical="center" wrapText="1"/>
    </xf>
    <xf numFmtId="3" fontId="48" fillId="2" borderId="10" xfId="0" applyNumberFormat="1" applyFont="1" applyFill="1" applyBorder="1" applyAlignment="1" applyProtection="1">
      <alignment horizontal="right" vertical="center" wrapText="1"/>
      <protection/>
    </xf>
    <xf numFmtId="49" fontId="74" fillId="2" borderId="0" xfId="0" applyNumberFormat="1" applyFont="1" applyFill="1" applyBorder="1" applyAlignment="1">
      <alignment horizontal="right" vertical="top" wrapText="1"/>
    </xf>
    <xf numFmtId="49" fontId="76" fillId="2" borderId="0" xfId="0" applyNumberFormat="1" applyFont="1" applyFill="1" applyBorder="1" applyAlignment="1">
      <alignment horizontal="center" vertical="top" wrapText="1"/>
    </xf>
    <xf numFmtId="49" fontId="48" fillId="2" borderId="0" xfId="0" applyNumberFormat="1" applyFont="1" applyFill="1" applyBorder="1" applyAlignment="1">
      <alignment horizontal="left" vertical="top" wrapText="1"/>
    </xf>
    <xf numFmtId="49" fontId="77" fillId="10" borderId="10" xfId="0" applyNumberFormat="1" applyFont="1" applyFill="1" applyBorder="1" applyAlignment="1">
      <alignment horizontal="center" vertical="center" wrapText="1"/>
    </xf>
    <xf numFmtId="0" fontId="77" fillId="10" borderId="10" xfId="0" applyNumberFormat="1" applyFont="1" applyFill="1" applyBorder="1" applyAlignment="1">
      <alignment horizontal="center" vertical="center" wrapText="1"/>
    </xf>
    <xf numFmtId="3" fontId="77" fillId="10" borderId="10" xfId="0" applyNumberFormat="1" applyFont="1" applyFill="1" applyBorder="1" applyAlignment="1">
      <alignment horizontal="center" vertical="center" wrapText="1"/>
    </xf>
    <xf numFmtId="49" fontId="77" fillId="10" borderId="10" xfId="0" applyNumberFormat="1" applyFont="1" applyFill="1" applyBorder="1" applyAlignment="1" applyProtection="1">
      <alignment horizontal="center" vertical="center" wrapText="1"/>
      <protection/>
    </xf>
    <xf numFmtId="0" fontId="77" fillId="10" borderId="10" xfId="0" applyNumberFormat="1" applyFont="1" applyFill="1" applyBorder="1" applyAlignment="1" applyProtection="1">
      <alignment horizontal="center" vertical="center" wrapText="1"/>
      <protection/>
    </xf>
    <xf numFmtId="3" fontId="77" fillId="10" borderId="10" xfId="0" applyNumberFormat="1" applyFont="1" applyFill="1" applyBorder="1" applyAlignment="1" applyProtection="1">
      <alignment horizontal="center" vertical="center" wrapText="1"/>
      <protection/>
    </xf>
    <xf numFmtId="3" fontId="77" fillId="1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74" fillId="2" borderId="0" xfId="0" applyNumberFormat="1" applyFont="1" applyFill="1" applyBorder="1" applyAlignment="1" applyProtection="1">
      <alignment horizontal="right" vertical="center" wrapText="1"/>
      <protection/>
    </xf>
    <xf numFmtId="49" fontId="76" fillId="2" borderId="0" xfId="0" applyNumberFormat="1" applyFont="1" applyFill="1" applyBorder="1" applyAlignment="1" applyProtection="1">
      <alignment horizontal="center" vertical="center" wrapText="1"/>
      <protection/>
    </xf>
    <xf numFmtId="49" fontId="48" fillId="2" borderId="0" xfId="0" applyNumberFormat="1" applyFont="1" applyFill="1" applyBorder="1" applyAlignment="1" applyProtection="1">
      <alignment horizontal="left" vertical="center" wrapText="1"/>
      <protection/>
    </xf>
    <xf numFmtId="0" fontId="56" fillId="6" borderId="10" xfId="0" applyFont="1" applyFill="1" applyBorder="1" applyAlignment="1">
      <alignment horizontal="center" vertical="center"/>
    </xf>
    <xf numFmtId="3" fontId="56" fillId="6" borderId="10" xfId="0" applyNumberFormat="1" applyFont="1" applyFill="1" applyBorder="1" applyAlignment="1">
      <alignment horizontal="center" vertical="center" wrapText="1"/>
    </xf>
    <xf numFmtId="3" fontId="56" fillId="6" borderId="10" xfId="0" applyNumberFormat="1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right" vertical="center"/>
    </xf>
    <xf numFmtId="49" fontId="53" fillId="0" borderId="0" xfId="0" applyNumberFormat="1" applyFont="1" applyBorder="1" applyAlignment="1">
      <alignment horizontal="center" vertical="top" wrapText="1"/>
    </xf>
    <xf numFmtId="49" fontId="36" fillId="0" borderId="0" xfId="0" applyNumberFormat="1" applyFont="1" applyBorder="1" applyAlignment="1">
      <alignment horizontal="center" vertical="top"/>
    </xf>
    <xf numFmtId="3" fontId="52" fillId="0" borderId="0" xfId="0" applyNumberFormat="1" applyFont="1" applyBorder="1" applyAlignment="1">
      <alignment horizontal="right" vertical="top"/>
    </xf>
    <xf numFmtId="49" fontId="36" fillId="0" borderId="0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49" fontId="36" fillId="6" borderId="10" xfId="0" applyNumberFormat="1" applyFont="1" applyFill="1" applyBorder="1" applyAlignment="1">
      <alignment horizontal="right" vertical="top"/>
    </xf>
    <xf numFmtId="0" fontId="35" fillId="0" borderId="0" xfId="0" applyFont="1" applyBorder="1" applyAlignment="1">
      <alignment horizontal="right" vertical="top" wrapText="1"/>
    </xf>
    <xf numFmtId="0" fontId="36" fillId="2" borderId="0" xfId="0" applyFont="1" applyFill="1" applyBorder="1" applyAlignment="1">
      <alignment horizontal="left" vertical="center"/>
    </xf>
    <xf numFmtId="0" fontId="36" fillId="6" borderId="10" xfId="0" applyFont="1" applyFill="1" applyBorder="1" applyAlignment="1">
      <alignment horizontal="center" vertical="center"/>
    </xf>
    <xf numFmtId="49" fontId="36" fillId="6" borderId="10" xfId="0" applyNumberFormat="1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 vertical="center"/>
    </xf>
    <xf numFmtId="0" fontId="52" fillId="0" borderId="0" xfId="71" applyFont="1" applyBorder="1" applyAlignment="1">
      <alignment horizontal="right" vertical="center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36" fillId="0" borderId="16" xfId="71" applyFont="1" applyBorder="1" applyAlignment="1">
      <alignment horizontal="center" vertical="center"/>
      <protection/>
    </xf>
    <xf numFmtId="0" fontId="52" fillId="0" borderId="0" xfId="71" applyFont="1" applyBorder="1" applyAlignment="1">
      <alignment horizontal="right"/>
      <protection/>
    </xf>
    <xf numFmtId="0" fontId="36" fillId="6" borderId="10" xfId="71" applyFont="1" applyFill="1" applyBorder="1" applyAlignment="1">
      <alignment horizontal="center" vertical="center" wrapText="1"/>
      <protection/>
    </xf>
    <xf numFmtId="0" fontId="64" fillId="0" borderId="10" xfId="71" applyFont="1" applyBorder="1" applyAlignment="1">
      <alignment horizontal="left" vertical="center" wrapText="1"/>
      <protection/>
    </xf>
    <xf numFmtId="3" fontId="36" fillId="6" borderId="10" xfId="71" applyNumberFormat="1" applyFont="1" applyFill="1" applyBorder="1" applyAlignment="1">
      <alignment horizontal="right" vertical="center"/>
      <protection/>
    </xf>
    <xf numFmtId="0" fontId="35" fillId="0" borderId="0" xfId="71" applyFont="1" applyBorder="1" applyAlignment="1">
      <alignment horizontal="left"/>
      <protection/>
    </xf>
    <xf numFmtId="49" fontId="60" fillId="0" borderId="0" xfId="0" applyNumberFormat="1" applyFont="1" applyBorder="1" applyAlignment="1">
      <alignment horizontal="center" vertical="center"/>
    </xf>
    <xf numFmtId="49" fontId="52" fillId="12" borderId="10" xfId="0" applyNumberFormat="1" applyFont="1" applyFill="1" applyBorder="1" applyAlignment="1">
      <alignment horizontal="center" vertical="center"/>
    </xf>
    <xf numFmtId="0" fontId="52" fillId="12" borderId="10" xfId="0" applyFont="1" applyFill="1" applyBorder="1" applyAlignment="1">
      <alignment horizontal="center" vertical="center"/>
    </xf>
    <xf numFmtId="0" fontId="52" fillId="12" borderId="10" xfId="0" applyFont="1" applyFill="1" applyBorder="1" applyAlignment="1">
      <alignment horizontal="center" vertical="center" wrapText="1"/>
    </xf>
    <xf numFmtId="3" fontId="52" fillId="12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38" xfId="0" applyFont="1" applyBorder="1" applyAlignment="1">
      <alignment horizontal="left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1" fontId="74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3" fontId="37" fillId="0" borderId="41" xfId="0" applyNumberFormat="1" applyFont="1" applyBorder="1" applyAlignment="1">
      <alignment vertical="center" wrapText="1"/>
    </xf>
    <xf numFmtId="0" fontId="39" fillId="0" borderId="41" xfId="0" applyFont="1" applyBorder="1" applyAlignment="1">
      <alignment horizontal="justify" vertical="center" wrapText="1"/>
    </xf>
    <xf numFmtId="3" fontId="39" fillId="0" borderId="41" xfId="0" applyNumberFormat="1" applyFont="1" applyBorder="1" applyAlignment="1">
      <alignment vertical="top" wrapText="1"/>
    </xf>
    <xf numFmtId="0" fontId="42" fillId="0" borderId="41" xfId="0" applyFont="1" applyBorder="1" applyAlignment="1">
      <alignment horizontal="justify" vertical="center" wrapText="1"/>
    </xf>
    <xf numFmtId="3" fontId="42" fillId="0" borderId="41" xfId="0" applyNumberFormat="1" applyFont="1" applyBorder="1" applyAlignment="1">
      <alignment vertical="top" wrapText="1"/>
    </xf>
    <xf numFmtId="0" fontId="42" fillId="0" borderId="41" xfId="0" applyFont="1" applyBorder="1" applyAlignment="1">
      <alignment horizontal="justify" vertical="center" wrapText="1"/>
    </xf>
    <xf numFmtId="0" fontId="46" fillId="0" borderId="41" xfId="0" applyFont="1" applyBorder="1" applyAlignment="1">
      <alignment horizontal="justify" vertical="center" wrapText="1"/>
    </xf>
    <xf numFmtId="0" fontId="43" fillId="0" borderId="41" xfId="0" applyFont="1" applyBorder="1" applyAlignment="1">
      <alignment horizontal="justify"/>
    </xf>
    <xf numFmtId="0" fontId="43" fillId="0" borderId="41" xfId="0" applyFont="1" applyBorder="1" applyAlignment="1">
      <alignment horizontal="justify"/>
    </xf>
    <xf numFmtId="0" fontId="42" fillId="0" borderId="41" xfId="0" applyFont="1" applyBorder="1" applyAlignment="1">
      <alignment horizontal="justify"/>
    </xf>
    <xf numFmtId="0" fontId="43" fillId="0" borderId="41" xfId="0" applyFont="1" applyBorder="1" applyAlignment="1">
      <alignment horizontal="justify"/>
    </xf>
    <xf numFmtId="3" fontId="0" fillId="0" borderId="41" xfId="0" applyNumberFormat="1" applyBorder="1" applyAlignment="1">
      <alignment vertical="top"/>
    </xf>
    <xf numFmtId="0" fontId="49" fillId="0" borderId="41" xfId="0" applyFont="1" applyBorder="1" applyAlignment="1">
      <alignment horizontal="justify"/>
    </xf>
    <xf numFmtId="0" fontId="49" fillId="0" borderId="41" xfId="0" applyFont="1" applyBorder="1" applyAlignment="1">
      <alignment horizontal="justify" wrapText="1"/>
    </xf>
    <xf numFmtId="0" fontId="43" fillId="0" borderId="41" xfId="0" applyFont="1" applyBorder="1" applyAlignment="1">
      <alignment horizontal="justify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noza%20dlug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one inwestycje"/>
      <sheetName val="poreczenia"/>
      <sheetName val="ppd"/>
      <sheetName val="nie wprowadz inwestycje"/>
      <sheetName val="kredyty_2_2"/>
      <sheetName val="Prognoza_2_2"/>
      <sheetName val="Prognoza_2"/>
      <sheetName val="kredyty_2"/>
      <sheetName val="kredyty"/>
      <sheetName val="Prognoza"/>
    </sheetNames>
    <sheetDataSet>
      <sheetData sheetId="6">
        <row r="20">
          <cell r="F20">
            <v>3768</v>
          </cell>
        </row>
        <row r="21">
          <cell r="F21">
            <v>3401155</v>
          </cell>
        </row>
        <row r="29">
          <cell r="F29">
            <v>908113.84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showGridLines="0" tabSelected="1" defaultGridColor="0" view="pageBreakPreview" zoomScale="90" zoomScaleSheetLayoutView="90" colorId="15" workbookViewId="0" topLeftCell="A1">
      <selection activeCell="G78" sqref="G78"/>
    </sheetView>
  </sheetViews>
  <sheetFormatPr defaultColWidth="9.00390625" defaultRowHeight="12.75"/>
  <cols>
    <col min="1" max="1" width="89.625" style="1" customWidth="1"/>
    <col min="2" max="2" width="16.375" style="2" customWidth="1"/>
    <col min="3" max="16384" width="11.625" style="3" customWidth="1"/>
  </cols>
  <sheetData>
    <row r="1" spans="1:2" ht="15.75">
      <c r="A1" s="4"/>
      <c r="B1" s="868" t="s">
        <v>202</v>
      </c>
    </row>
    <row r="2" spans="1:2" ht="36.75" customHeight="1">
      <c r="A2" s="711" t="s">
        <v>203</v>
      </c>
      <c r="B2" s="711"/>
    </row>
    <row r="3" spans="1:2" ht="17.25" customHeight="1">
      <c r="A3" s="712" t="s">
        <v>204</v>
      </c>
      <c r="B3" s="712"/>
    </row>
    <row r="4" spans="1:2" ht="17.25" customHeight="1">
      <c r="A4" s="712" t="s">
        <v>205</v>
      </c>
      <c r="B4" s="712"/>
    </row>
    <row r="5" spans="1:2" ht="16.5">
      <c r="A5" s="5"/>
      <c r="B5" s="6"/>
    </row>
    <row r="6" spans="1:2" ht="17.25" customHeight="1">
      <c r="A6" s="713" t="s">
        <v>206</v>
      </c>
      <c r="B6" s="713"/>
    </row>
    <row r="7" spans="1:2" ht="17.25">
      <c r="A7" s="7"/>
      <c r="B7" s="8"/>
    </row>
    <row r="8" spans="1:5" ht="57.75" customHeight="1">
      <c r="A8" s="714" t="s">
        <v>207</v>
      </c>
      <c r="B8" s="714"/>
      <c r="E8" s="10"/>
    </row>
    <row r="9" spans="1:2" ht="16.5">
      <c r="A9" s="11"/>
      <c r="B9" s="8"/>
    </row>
    <row r="10" spans="1:2" ht="16.5">
      <c r="A10" s="869" t="s">
        <v>208</v>
      </c>
      <c r="B10" s="870">
        <f>SUM(B12:B13)</f>
        <v>44904895</v>
      </c>
    </row>
    <row r="11" spans="1:2" ht="16.5">
      <c r="A11" s="871" t="s">
        <v>209</v>
      </c>
      <c r="B11" s="872"/>
    </row>
    <row r="12" spans="1:2" ht="16.5">
      <c r="A12" s="871" t="s">
        <v>210</v>
      </c>
      <c r="B12" s="872">
        <f>'zał 1'!C20</f>
        <v>41489145</v>
      </c>
    </row>
    <row r="13" spans="1:2" ht="16.5">
      <c r="A13" s="871" t="s">
        <v>211</v>
      </c>
      <c r="B13" s="872">
        <f>'zał 1'!C21</f>
        <v>3415750</v>
      </c>
    </row>
    <row r="14" spans="1:2" ht="16.5">
      <c r="A14" s="871" t="s">
        <v>212</v>
      </c>
      <c r="B14" s="872"/>
    </row>
    <row r="15" spans="1:2" ht="33">
      <c r="A15" s="871" t="s">
        <v>213</v>
      </c>
      <c r="B15" s="872">
        <f>'zał 3'!E19</f>
        <v>5796800</v>
      </c>
    </row>
    <row r="16" spans="1:2" ht="33">
      <c r="A16" s="871" t="s">
        <v>214</v>
      </c>
      <c r="B16" s="872">
        <f>'zał 4'!E9</f>
        <v>7000</v>
      </c>
    </row>
    <row r="17" spans="1:2" ht="16.5">
      <c r="A17" s="9"/>
      <c r="B17" s="14"/>
    </row>
    <row r="18" spans="1:2" ht="16.5">
      <c r="A18" s="869" t="s">
        <v>215</v>
      </c>
      <c r="B18" s="870">
        <f>SUM(B20:B21)</f>
        <v>56609295.535179</v>
      </c>
    </row>
    <row r="19" spans="1:2" ht="16.5">
      <c r="A19" s="871" t="s">
        <v>216</v>
      </c>
      <c r="B19" s="870"/>
    </row>
    <row r="20" spans="1:2" ht="16.5">
      <c r="A20" s="873" t="s">
        <v>217</v>
      </c>
      <c r="B20" s="872">
        <f>'zał 6'!C26</f>
        <v>41316002.535179</v>
      </c>
    </row>
    <row r="21" spans="1:2" ht="16.5">
      <c r="A21" s="871" t="s">
        <v>218</v>
      </c>
      <c r="B21" s="872">
        <f>'zał 6'!C27</f>
        <v>15293293</v>
      </c>
    </row>
    <row r="22" spans="1:2" ht="16.5">
      <c r="A22" s="871" t="s">
        <v>219</v>
      </c>
      <c r="B22" s="872"/>
    </row>
    <row r="23" spans="1:2" ht="33">
      <c r="A23" s="871" t="s">
        <v>220</v>
      </c>
      <c r="B23" s="872">
        <f>'zał 8'!E64</f>
        <v>5796799.75366</v>
      </c>
    </row>
    <row r="24" spans="1:2" ht="33">
      <c r="A24" s="871" t="s">
        <v>221</v>
      </c>
      <c r="B24" s="872">
        <f>'zał 9'!E8</f>
        <v>7000</v>
      </c>
    </row>
    <row r="25" spans="1:2" ht="16.5">
      <c r="A25" s="9"/>
      <c r="B25" s="14"/>
    </row>
    <row r="26" spans="1:2" ht="49.5">
      <c r="A26" s="869" t="s">
        <v>222</v>
      </c>
      <c r="B26" s="870">
        <f>B18-B10</f>
        <v>11704400.535178997</v>
      </c>
    </row>
    <row r="27" spans="1:2" ht="16.5">
      <c r="A27" s="12"/>
      <c r="B27" s="13"/>
    </row>
    <row r="28" spans="1:2" ht="16.5">
      <c r="A28" s="869" t="s">
        <v>223</v>
      </c>
      <c r="B28" s="870">
        <f>SUM(B30:B33)</f>
        <v>12612514.535178997</v>
      </c>
    </row>
    <row r="29" spans="1:2" ht="16.5">
      <c r="A29" s="874" t="s">
        <v>216</v>
      </c>
      <c r="B29" s="872"/>
    </row>
    <row r="30" spans="1:2" ht="16.5">
      <c r="A30" s="871" t="s">
        <v>224</v>
      </c>
      <c r="B30" s="872">
        <f>B26+B35-B33-B32</f>
        <v>9207591.535178997</v>
      </c>
    </row>
    <row r="31" spans="1:2" ht="16.5">
      <c r="A31" s="871" t="s">
        <v>225</v>
      </c>
      <c r="B31" s="872">
        <v>0</v>
      </c>
    </row>
    <row r="32" spans="1:2" ht="16.5">
      <c r="A32" s="871" t="s">
        <v>226</v>
      </c>
      <c r="B32" s="872">
        <v>3768</v>
      </c>
    </row>
    <row r="33" spans="1:2" ht="49.5">
      <c r="A33" s="871" t="s">
        <v>227</v>
      </c>
      <c r="B33" s="872">
        <f>'[1]Prognoza_2'!F21</f>
        <v>3401155</v>
      </c>
    </row>
    <row r="34" spans="1:2" ht="16.5">
      <c r="A34" s="9"/>
      <c r="B34" s="14"/>
    </row>
    <row r="35" spans="1:2" ht="33">
      <c r="A35" s="869" t="s">
        <v>228</v>
      </c>
      <c r="B35" s="870">
        <f>B36+B37</f>
        <v>908114</v>
      </c>
    </row>
    <row r="36" spans="1:2" ht="33">
      <c r="A36" s="873" t="s">
        <v>229</v>
      </c>
      <c r="B36" s="872">
        <v>732272</v>
      </c>
    </row>
    <row r="37" spans="1:2" ht="16.5">
      <c r="A37" s="873" t="s">
        <v>230</v>
      </c>
      <c r="B37" s="872">
        <v>175842</v>
      </c>
    </row>
    <row r="38" spans="1:2" ht="16.5">
      <c r="A38" s="9"/>
      <c r="B38" s="14"/>
    </row>
    <row r="39" spans="1:2" ht="16.5">
      <c r="A39" s="875" t="s">
        <v>231</v>
      </c>
      <c r="B39" s="870">
        <f>SUM(B40:B41)</f>
        <v>171000</v>
      </c>
    </row>
    <row r="40" spans="1:2" ht="16.5">
      <c r="A40" s="873" t="s">
        <v>232</v>
      </c>
      <c r="B40" s="872">
        <f>'zał 7'!E118</f>
        <v>56000</v>
      </c>
    </row>
    <row r="41" spans="1:2" ht="33">
      <c r="A41" s="871" t="s">
        <v>233</v>
      </c>
      <c r="B41" s="872">
        <f>'zał 7'!E104</f>
        <v>115000</v>
      </c>
    </row>
    <row r="42" spans="1:2" ht="16.5">
      <c r="A42" s="16"/>
      <c r="B42" s="14"/>
    </row>
    <row r="43" spans="1:2" ht="18.75">
      <c r="A43" s="876" t="s">
        <v>234</v>
      </c>
      <c r="B43" s="870">
        <f>B44+B45</f>
        <v>171390</v>
      </c>
    </row>
    <row r="44" spans="1:2" ht="16.5">
      <c r="A44" s="877" t="s">
        <v>235</v>
      </c>
      <c r="B44" s="872">
        <f>'zał 31'!F111</f>
        <v>171390</v>
      </c>
    </row>
    <row r="45" spans="1:2" ht="16.5">
      <c r="A45" s="877" t="s">
        <v>236</v>
      </c>
      <c r="B45" s="872"/>
    </row>
    <row r="46" spans="1:2" ht="16.5">
      <c r="A46" s="17"/>
      <c r="B46" s="14"/>
    </row>
    <row r="47" spans="1:2" ht="16.5">
      <c r="A47" s="878" t="s">
        <v>237</v>
      </c>
      <c r="B47" s="879"/>
    </row>
    <row r="48" spans="1:2" ht="16.5">
      <c r="A48" s="880" t="s">
        <v>238</v>
      </c>
      <c r="B48" s="872">
        <f>'zał 2'!E62</f>
        <v>330000</v>
      </c>
    </row>
    <row r="49" spans="1:2" ht="33">
      <c r="A49" s="881" t="s">
        <v>239</v>
      </c>
      <c r="B49" s="872">
        <f>'zał 7'!E245</f>
        <v>280000</v>
      </c>
    </row>
    <row r="50" spans="1:2" ht="33">
      <c r="A50" s="881" t="s">
        <v>240</v>
      </c>
      <c r="B50" s="872">
        <f>'zał 7'!E241</f>
        <v>50000</v>
      </c>
    </row>
    <row r="51" spans="1:2" ht="16.5">
      <c r="A51" s="18"/>
      <c r="B51" s="14"/>
    </row>
    <row r="52" spans="1:2" ht="16.5">
      <c r="A52" s="20" t="s">
        <v>241</v>
      </c>
      <c r="B52" s="13"/>
    </row>
    <row r="53" spans="1:2" ht="16.5">
      <c r="A53" s="21" t="s">
        <v>242</v>
      </c>
      <c r="B53" s="13"/>
    </row>
    <row r="54" spans="1:2" ht="66">
      <c r="A54" s="21" t="s">
        <v>243</v>
      </c>
      <c r="B54" s="13"/>
    </row>
    <row r="55" spans="1:2" ht="16.5">
      <c r="A55" s="9"/>
      <c r="B55" s="13"/>
    </row>
    <row r="56" spans="1:2" ht="33">
      <c r="A56" s="20" t="s">
        <v>244</v>
      </c>
      <c r="B56" s="13"/>
    </row>
    <row r="57" spans="1:2" ht="16.5">
      <c r="A57" s="19" t="s">
        <v>245</v>
      </c>
      <c r="B57" s="13"/>
    </row>
    <row r="58" spans="1:2" ht="49.5">
      <c r="A58" s="19" t="s">
        <v>246</v>
      </c>
      <c r="B58" s="13"/>
    </row>
    <row r="59" spans="1:2" ht="16.5">
      <c r="A59" s="12"/>
      <c r="B59" s="13"/>
    </row>
    <row r="60" spans="1:2" ht="33">
      <c r="A60" s="12" t="s">
        <v>247</v>
      </c>
      <c r="B60" s="13"/>
    </row>
    <row r="61" spans="1:2" ht="16.5">
      <c r="A61" s="12"/>
      <c r="B61" s="13"/>
    </row>
    <row r="62" spans="1:2" ht="33">
      <c r="A62" s="12" t="s">
        <v>248</v>
      </c>
      <c r="B62" s="13"/>
    </row>
    <row r="63" spans="1:2" ht="16.5">
      <c r="A63" s="12"/>
      <c r="B63" s="13"/>
    </row>
    <row r="64" spans="1:2" ht="33">
      <c r="A64" s="12" t="s">
        <v>249</v>
      </c>
      <c r="B64" s="13"/>
    </row>
    <row r="65" spans="1:2" ht="16.5">
      <c r="A65" s="12"/>
      <c r="B65" s="13"/>
    </row>
    <row r="66" spans="1:2" ht="16.5">
      <c r="A66" s="12" t="s">
        <v>250</v>
      </c>
      <c r="B66" s="13"/>
    </row>
    <row r="67" spans="1:2" ht="16.5">
      <c r="A67" s="12"/>
      <c r="B67" s="13"/>
    </row>
    <row r="68" spans="1:2" ht="33">
      <c r="A68" s="12" t="s">
        <v>251</v>
      </c>
      <c r="B68" s="13"/>
    </row>
    <row r="69" spans="1:2" ht="16.5">
      <c r="A69" s="9" t="s">
        <v>252</v>
      </c>
      <c r="B69" s="14"/>
    </row>
    <row r="70" spans="1:2" ht="16.5">
      <c r="A70" s="9" t="s">
        <v>253</v>
      </c>
      <c r="B70" s="14"/>
    </row>
    <row r="71" spans="1:2" ht="16.5">
      <c r="A71" s="9"/>
      <c r="B71" s="14"/>
    </row>
    <row r="72" spans="1:2" ht="49.5">
      <c r="A72" s="869" t="s">
        <v>254</v>
      </c>
      <c r="B72" s="872">
        <f>'zał 7'!E353</f>
        <v>1479665</v>
      </c>
    </row>
    <row r="73" spans="1:2" ht="16.5">
      <c r="A73" s="12"/>
      <c r="B73" s="14"/>
    </row>
    <row r="74" spans="1:2" ht="33">
      <c r="A74" s="12" t="s">
        <v>255</v>
      </c>
      <c r="B74" s="13"/>
    </row>
    <row r="75" spans="1:2" ht="16.5">
      <c r="A75" s="12"/>
      <c r="B75" s="13"/>
    </row>
    <row r="76" spans="1:2" ht="33">
      <c r="A76" s="12" t="s">
        <v>256</v>
      </c>
      <c r="B76" s="13"/>
    </row>
    <row r="77" spans="1:2" ht="16.5">
      <c r="A77" s="12"/>
      <c r="B77" s="13"/>
    </row>
    <row r="78" spans="1:2" ht="33">
      <c r="A78" s="882" t="s">
        <v>257</v>
      </c>
      <c r="B78" s="870"/>
    </row>
    <row r="79" spans="1:2" ht="33">
      <c r="A79" s="881" t="s">
        <v>258</v>
      </c>
      <c r="B79" s="872">
        <v>3000000</v>
      </c>
    </row>
    <row r="80" spans="1:2" ht="18.75" customHeight="1">
      <c r="A80" s="881" t="s">
        <v>259</v>
      </c>
      <c r="B80" s="872">
        <f>B26</f>
        <v>11704400.535178997</v>
      </c>
    </row>
    <row r="81" spans="1:2" ht="33">
      <c r="A81" s="881" t="s">
        <v>260</v>
      </c>
      <c r="B81" s="872">
        <f>B35</f>
        <v>908114</v>
      </c>
    </row>
    <row r="82" spans="1:2" ht="16.5">
      <c r="A82" s="12"/>
      <c r="B82" s="13"/>
    </row>
    <row r="83" spans="1:2" ht="49.5">
      <c r="A83" s="20" t="s">
        <v>261</v>
      </c>
      <c r="B83" s="13"/>
    </row>
    <row r="84" spans="1:2" ht="16.5">
      <c r="A84" s="12"/>
      <c r="B84" s="13"/>
    </row>
    <row r="85" spans="1:2" ht="16.5">
      <c r="A85" s="20" t="s">
        <v>262</v>
      </c>
      <c r="B85" s="13"/>
    </row>
    <row r="86" spans="1:2" ht="66">
      <c r="A86" s="15" t="s">
        <v>263</v>
      </c>
      <c r="B86" s="13"/>
    </row>
    <row r="87" spans="1:2" ht="33">
      <c r="A87" s="19" t="s">
        <v>264</v>
      </c>
      <c r="B87" s="13"/>
    </row>
    <row r="88" spans="1:2" ht="49.5">
      <c r="A88" s="19" t="s">
        <v>265</v>
      </c>
      <c r="B88" s="14"/>
    </row>
    <row r="89" spans="1:2" ht="66">
      <c r="A89" s="19" t="s">
        <v>266</v>
      </c>
      <c r="B89" s="14"/>
    </row>
    <row r="90" spans="1:2" ht="32.25">
      <c r="A90" s="15" t="s">
        <v>267</v>
      </c>
      <c r="B90" s="14"/>
    </row>
    <row r="91" spans="1:2" ht="33">
      <c r="A91" s="15" t="s">
        <v>268</v>
      </c>
      <c r="B91" s="14"/>
    </row>
    <row r="92" spans="1:2" ht="33">
      <c r="A92" s="15" t="s">
        <v>269</v>
      </c>
      <c r="B92" s="14"/>
    </row>
    <row r="93" spans="1:2" ht="16.5">
      <c r="A93" s="9"/>
      <c r="B93" s="14"/>
    </row>
    <row r="94" spans="1:2" ht="16.5">
      <c r="A94" s="12" t="s">
        <v>270</v>
      </c>
      <c r="B94" s="13"/>
    </row>
    <row r="95" spans="1:2" ht="16.5">
      <c r="A95" s="12"/>
      <c r="B95" s="13"/>
    </row>
    <row r="96" spans="1:2" ht="33">
      <c r="A96" s="12" t="s">
        <v>271</v>
      </c>
      <c r="B96" s="13"/>
    </row>
    <row r="97" spans="1:2" ht="16.5">
      <c r="A97" s="11"/>
      <c r="B97" s="8"/>
    </row>
    <row r="98" spans="1:2" ht="15.75">
      <c r="A98" s="22"/>
      <c r="B98" s="23"/>
    </row>
    <row r="99" spans="1:2" ht="15.75">
      <c r="A99" s="22"/>
      <c r="B99" s="23"/>
    </row>
    <row r="100" spans="1:2" ht="15.75">
      <c r="A100" s="22"/>
      <c r="B100" s="23"/>
    </row>
    <row r="101" spans="1:2" ht="15.75">
      <c r="A101" s="22"/>
      <c r="B101" s="23"/>
    </row>
    <row r="102" spans="1:2" ht="15.75">
      <c r="A102" s="22"/>
      <c r="B102" s="23"/>
    </row>
    <row r="103" spans="1:2" ht="15.75">
      <c r="A103" s="22"/>
      <c r="B103" s="23"/>
    </row>
    <row r="104" spans="1:2" ht="15.75">
      <c r="A104" s="22"/>
      <c r="B104" s="23"/>
    </row>
    <row r="105" spans="1:2" ht="15.75">
      <c r="A105" s="22"/>
      <c r="B105" s="23"/>
    </row>
    <row r="106" spans="1:2" ht="15.75">
      <c r="A106" s="22"/>
      <c r="B106" s="23"/>
    </row>
    <row r="107" spans="1:2" ht="15.75">
      <c r="A107" s="22"/>
      <c r="B107" s="23"/>
    </row>
    <row r="108" spans="1:2" ht="15.75">
      <c r="A108" s="22"/>
      <c r="B108" s="23"/>
    </row>
    <row r="109" spans="1:2" ht="15.75">
      <c r="A109" s="22"/>
      <c r="B109" s="23"/>
    </row>
    <row r="110" spans="1:2" ht="15.75">
      <c r="A110" s="22"/>
      <c r="B110" s="23"/>
    </row>
    <row r="111" spans="1:2" ht="15.75">
      <c r="A111" s="22"/>
      <c r="B111" s="23"/>
    </row>
    <row r="112" spans="1:2" ht="15.75">
      <c r="A112" s="22"/>
      <c r="B112" s="23"/>
    </row>
    <row r="113" spans="1:2" ht="15.75">
      <c r="A113" s="22"/>
      <c r="B113" s="23"/>
    </row>
    <row r="114" spans="1:2" ht="15.75">
      <c r="A114" s="22"/>
      <c r="B114" s="23"/>
    </row>
    <row r="115" spans="1:2" ht="15.75">
      <c r="A115" s="22"/>
      <c r="B115" s="23"/>
    </row>
    <row r="116" spans="1:2" ht="15.75">
      <c r="A116" s="22"/>
      <c r="B116" s="23"/>
    </row>
    <row r="117" spans="1:2" ht="15.75">
      <c r="A117" s="22"/>
      <c r="B117" s="23"/>
    </row>
    <row r="118" spans="1:2" ht="15.75">
      <c r="A118" s="22"/>
      <c r="B118" s="23"/>
    </row>
    <row r="119" spans="1:2" ht="15.75">
      <c r="A119" s="22"/>
      <c r="B119" s="23"/>
    </row>
    <row r="120" spans="1:2" ht="15.75">
      <c r="A120" s="22"/>
      <c r="B120" s="23"/>
    </row>
    <row r="121" spans="1:2" ht="15.75">
      <c r="A121" s="22"/>
      <c r="B121" s="23"/>
    </row>
    <row r="122" spans="1:2" ht="15.75">
      <c r="A122" s="22"/>
      <c r="B122" s="23"/>
    </row>
    <row r="123" spans="1:2" ht="15.75">
      <c r="A123" s="22"/>
      <c r="B123" s="23"/>
    </row>
    <row r="124" spans="1:2" ht="15.75">
      <c r="A124" s="22"/>
      <c r="B124" s="23"/>
    </row>
    <row r="125" spans="1:2" ht="15.75">
      <c r="A125" s="22"/>
      <c r="B125" s="23"/>
    </row>
    <row r="126" spans="1:2" ht="15.75">
      <c r="A126" s="22"/>
      <c r="B126" s="23"/>
    </row>
    <row r="127" spans="1:2" ht="15.75">
      <c r="A127" s="22"/>
      <c r="B127" s="23"/>
    </row>
    <row r="128" spans="1:2" ht="15.75">
      <c r="A128" s="22"/>
      <c r="B128" s="23"/>
    </row>
    <row r="129" spans="1:2" ht="15.75">
      <c r="A129" s="22"/>
      <c r="B129" s="23"/>
    </row>
    <row r="130" spans="1:2" ht="15.75">
      <c r="A130" s="22"/>
      <c r="B130" s="23"/>
    </row>
    <row r="131" spans="1:2" ht="15.75">
      <c r="A131" s="22"/>
      <c r="B131" s="23"/>
    </row>
    <row r="132" spans="1:2" ht="15.75">
      <c r="A132" s="22"/>
      <c r="B132" s="23"/>
    </row>
    <row r="133" spans="1:2" ht="15.75">
      <c r="A133" s="22"/>
      <c r="B133" s="23"/>
    </row>
    <row r="134" spans="1:2" ht="15.75">
      <c r="A134" s="22"/>
      <c r="B134" s="23"/>
    </row>
    <row r="135" spans="1:2" ht="15.75">
      <c r="A135" s="22"/>
      <c r="B135" s="23"/>
    </row>
    <row r="136" spans="1:2" ht="15.75">
      <c r="A136" s="22"/>
      <c r="B136" s="23"/>
    </row>
    <row r="137" spans="1:2" ht="15.75">
      <c r="A137" s="22"/>
      <c r="B137" s="23"/>
    </row>
    <row r="138" spans="1:2" ht="15.75">
      <c r="A138" s="22"/>
      <c r="B138" s="23"/>
    </row>
    <row r="139" spans="1:2" ht="15.75">
      <c r="A139" s="22"/>
      <c r="B139" s="23"/>
    </row>
    <row r="140" spans="1:2" ht="15.75">
      <c r="A140" s="22"/>
      <c r="B140" s="23"/>
    </row>
    <row r="141" spans="1:2" ht="15.75">
      <c r="A141" s="22"/>
      <c r="B141" s="23"/>
    </row>
    <row r="142" spans="1:2" ht="15.75">
      <c r="A142" s="22"/>
      <c r="B142" s="23"/>
    </row>
    <row r="143" spans="1:2" ht="15.75">
      <c r="A143" s="22"/>
      <c r="B143" s="23"/>
    </row>
    <row r="144" spans="1:2" ht="15.75">
      <c r="A144" s="22"/>
      <c r="B144" s="23"/>
    </row>
    <row r="145" spans="1:2" ht="15.75">
      <c r="A145" s="22"/>
      <c r="B145" s="23"/>
    </row>
    <row r="146" spans="1:2" ht="15.75">
      <c r="A146" s="22"/>
      <c r="B146" s="23"/>
    </row>
    <row r="147" spans="1:2" ht="15.75">
      <c r="A147" s="22"/>
      <c r="B147" s="23"/>
    </row>
    <row r="148" spans="1:2" ht="15.75">
      <c r="A148" s="22"/>
      <c r="B148" s="23"/>
    </row>
    <row r="149" spans="1:2" ht="15.75">
      <c r="A149" s="22"/>
      <c r="B149" s="23"/>
    </row>
    <row r="150" spans="1:2" ht="15.75">
      <c r="A150" s="22"/>
      <c r="B150" s="23"/>
    </row>
    <row r="151" spans="1:2" ht="15.75">
      <c r="A151" s="22"/>
      <c r="B151" s="23"/>
    </row>
    <row r="152" spans="1:2" ht="15.75">
      <c r="A152" s="22"/>
      <c r="B152" s="23"/>
    </row>
    <row r="153" spans="1:2" ht="15.75">
      <c r="A153" s="22"/>
      <c r="B153" s="23"/>
    </row>
    <row r="154" spans="1:2" ht="15.75">
      <c r="A154" s="22"/>
      <c r="B154" s="23"/>
    </row>
    <row r="155" spans="1:2" ht="15.75">
      <c r="A155" s="22"/>
      <c r="B155" s="23"/>
    </row>
    <row r="156" spans="1:2" ht="15.75">
      <c r="A156" s="22"/>
      <c r="B156" s="23"/>
    </row>
    <row r="157" spans="1:2" ht="15.75">
      <c r="A157" s="22"/>
      <c r="B157" s="23"/>
    </row>
    <row r="158" spans="1:2" ht="15.75">
      <c r="A158" s="22"/>
      <c r="B158" s="23"/>
    </row>
    <row r="159" spans="1:2" ht="15.75">
      <c r="A159" s="22"/>
      <c r="B159" s="23"/>
    </row>
    <row r="160" spans="1:2" ht="15.75">
      <c r="A160" s="22"/>
      <c r="B160" s="23"/>
    </row>
    <row r="161" spans="1:2" ht="15.75">
      <c r="A161" s="22"/>
      <c r="B161" s="23"/>
    </row>
    <row r="162" spans="1:2" ht="15.75">
      <c r="A162" s="22"/>
      <c r="B162" s="23"/>
    </row>
    <row r="163" spans="1:2" ht="15.75">
      <c r="A163" s="22"/>
      <c r="B163" s="23"/>
    </row>
    <row r="164" spans="1:2" ht="15.75">
      <c r="A164" s="22"/>
      <c r="B164" s="23"/>
    </row>
    <row r="165" spans="1:2" ht="15.75">
      <c r="A165" s="22"/>
      <c r="B165" s="23"/>
    </row>
    <row r="166" spans="1:2" ht="15.75">
      <c r="A166" s="22"/>
      <c r="B166" s="23"/>
    </row>
    <row r="167" spans="1:2" ht="15.75">
      <c r="A167" s="22"/>
      <c r="B167" s="23"/>
    </row>
    <row r="168" spans="1:2" ht="15.75">
      <c r="A168" s="22"/>
      <c r="B168" s="23"/>
    </row>
    <row r="169" spans="1:2" ht="15.75">
      <c r="A169" s="22"/>
      <c r="B169" s="23"/>
    </row>
    <row r="170" spans="1:2" ht="15.75">
      <c r="A170" s="22"/>
      <c r="B170" s="23"/>
    </row>
    <row r="171" spans="1:2" ht="15.75">
      <c r="A171" s="22"/>
      <c r="B171" s="23"/>
    </row>
    <row r="172" spans="1:2" ht="15.75">
      <c r="A172" s="22"/>
      <c r="B172" s="23"/>
    </row>
    <row r="173" spans="1:2" ht="15.75">
      <c r="A173" s="22"/>
      <c r="B173" s="23"/>
    </row>
    <row r="174" spans="1:2" ht="15.75">
      <c r="A174" s="22"/>
      <c r="B174" s="23"/>
    </row>
    <row r="175" spans="1:2" ht="15.75">
      <c r="A175" s="22"/>
      <c r="B175" s="23"/>
    </row>
    <row r="176" spans="1:2" ht="15.75">
      <c r="A176" s="22"/>
      <c r="B176" s="23"/>
    </row>
    <row r="177" spans="1:2" ht="15.75">
      <c r="A177" s="22"/>
      <c r="B177" s="23"/>
    </row>
    <row r="178" spans="1:2" ht="15.75">
      <c r="A178" s="22"/>
      <c r="B178" s="23"/>
    </row>
    <row r="179" spans="1:2" ht="15.75">
      <c r="A179" s="22"/>
      <c r="B179" s="23"/>
    </row>
    <row r="180" spans="1:2" ht="15.75">
      <c r="A180" s="22"/>
      <c r="B180" s="23"/>
    </row>
    <row r="181" spans="1:2" ht="15.75">
      <c r="A181" s="22"/>
      <c r="B181" s="23"/>
    </row>
    <row r="182" spans="1:2" ht="15.75">
      <c r="A182" s="22"/>
      <c r="B182" s="23"/>
    </row>
    <row r="183" spans="1:2" ht="15.75">
      <c r="A183" s="22"/>
      <c r="B183" s="23"/>
    </row>
    <row r="184" spans="1:2" ht="15.75">
      <c r="A184" s="22"/>
      <c r="B184" s="23"/>
    </row>
    <row r="185" spans="1:2" ht="15.75">
      <c r="A185" s="22"/>
      <c r="B185" s="23"/>
    </row>
    <row r="186" spans="1:2" ht="15.75">
      <c r="A186" s="22"/>
      <c r="B186" s="23"/>
    </row>
    <row r="187" spans="1:2" ht="15.75">
      <c r="A187" s="22"/>
      <c r="B187" s="23"/>
    </row>
    <row r="188" spans="1:2" ht="15.75">
      <c r="A188" s="22"/>
      <c r="B188" s="23"/>
    </row>
    <row r="189" spans="1:2" ht="15.75">
      <c r="A189" s="22"/>
      <c r="B189" s="23"/>
    </row>
    <row r="190" spans="1:2" ht="15.75">
      <c r="A190" s="22"/>
      <c r="B190" s="23"/>
    </row>
    <row r="191" spans="1:2" ht="15.75">
      <c r="A191" s="22"/>
      <c r="B191" s="23"/>
    </row>
    <row r="192" spans="1:2" ht="15.75">
      <c r="A192" s="22"/>
      <c r="B192" s="23"/>
    </row>
    <row r="193" spans="1:2" ht="15.75">
      <c r="A193" s="22"/>
      <c r="B193" s="23"/>
    </row>
    <row r="194" spans="1:2" ht="15.75">
      <c r="A194" s="22"/>
      <c r="B194" s="23"/>
    </row>
    <row r="195" spans="1:2" ht="15.75">
      <c r="A195" s="22"/>
      <c r="B195" s="23"/>
    </row>
    <row r="196" spans="1:2" ht="15.75">
      <c r="A196" s="22"/>
      <c r="B196" s="23"/>
    </row>
    <row r="197" spans="1:2" ht="15.75">
      <c r="A197" s="22"/>
      <c r="B197" s="23"/>
    </row>
    <row r="198" spans="1:2" ht="15.75">
      <c r="A198" s="22"/>
      <c r="B198" s="23"/>
    </row>
    <row r="199" spans="1:2" ht="15.75">
      <c r="A199" s="22"/>
      <c r="B199" s="23"/>
    </row>
    <row r="200" spans="1:2" ht="15.75">
      <c r="A200" s="22"/>
      <c r="B200" s="23"/>
    </row>
    <row r="201" spans="1:2" ht="15.75">
      <c r="A201" s="22"/>
      <c r="B201" s="23"/>
    </row>
    <row r="202" spans="1:2" ht="15.75">
      <c r="A202" s="22"/>
      <c r="B202" s="23"/>
    </row>
    <row r="203" spans="1:2" ht="15.75">
      <c r="A203" s="22"/>
      <c r="B203" s="23"/>
    </row>
    <row r="204" spans="1:2" ht="15.75">
      <c r="A204" s="22"/>
      <c r="B204" s="23"/>
    </row>
    <row r="205" spans="1:2" ht="15.75">
      <c r="A205" s="22"/>
      <c r="B205" s="23"/>
    </row>
    <row r="206" spans="1:2" ht="15.75">
      <c r="A206" s="22"/>
      <c r="B206" s="23"/>
    </row>
    <row r="207" spans="1:2" ht="15.75">
      <c r="A207" s="22"/>
      <c r="B207" s="23"/>
    </row>
    <row r="208" spans="1:2" ht="15.75">
      <c r="A208" s="22"/>
      <c r="B208" s="23"/>
    </row>
    <row r="209" spans="1:2" ht="15.75">
      <c r="A209" s="22"/>
      <c r="B209" s="23"/>
    </row>
    <row r="210" spans="1:2" ht="15.75">
      <c r="A210" s="22"/>
      <c r="B210" s="23"/>
    </row>
    <row r="211" spans="1:2" ht="15.75">
      <c r="A211" s="22"/>
      <c r="B211" s="23"/>
    </row>
    <row r="212" spans="1:2" ht="15.75">
      <c r="A212" s="22"/>
      <c r="B212" s="23"/>
    </row>
    <row r="213" spans="1:2" ht="15.75">
      <c r="A213" s="22"/>
      <c r="B213" s="23"/>
    </row>
    <row r="214" spans="1:2" ht="15.75">
      <c r="A214" s="22"/>
      <c r="B214" s="23"/>
    </row>
    <row r="215" spans="1:2" ht="15.75">
      <c r="A215" s="22"/>
      <c r="B215" s="23"/>
    </row>
    <row r="216" spans="1:2" ht="15.75">
      <c r="A216" s="22"/>
      <c r="B216" s="23"/>
    </row>
    <row r="217" spans="1:2" ht="15.75">
      <c r="A217" s="22"/>
      <c r="B217" s="23"/>
    </row>
    <row r="218" spans="1:2" ht="15.75">
      <c r="A218" s="22"/>
      <c r="B218" s="23"/>
    </row>
    <row r="219" spans="1:2" ht="15.75">
      <c r="A219" s="22"/>
      <c r="B219" s="23"/>
    </row>
    <row r="220" spans="1:2" ht="15.75">
      <c r="A220" s="22"/>
      <c r="B220" s="23"/>
    </row>
    <row r="221" spans="1:2" ht="15.75">
      <c r="A221" s="22"/>
      <c r="B221" s="23"/>
    </row>
    <row r="222" spans="1:2" ht="15.75">
      <c r="A222" s="22"/>
      <c r="B222" s="23"/>
    </row>
    <row r="223" spans="1:2" ht="15.75">
      <c r="A223" s="22"/>
      <c r="B223" s="23"/>
    </row>
    <row r="224" spans="1:2" ht="15.75">
      <c r="A224" s="22"/>
      <c r="B224" s="23"/>
    </row>
  </sheetData>
  <mergeCells count="5">
    <mergeCell ref="A8:B8"/>
    <mergeCell ref="A2:B2"/>
    <mergeCell ref="A3:B3"/>
    <mergeCell ref="A4:B4"/>
    <mergeCell ref="A6:B6"/>
  </mergeCells>
  <printOptions/>
  <pageMargins left="0.7875" right="0.7875" top="0.7875" bottom="0.9541666666666666" header="0.5118055555555556" footer="0.7875"/>
  <pageSetup horizontalDpi="300" verticalDpi="300" orientation="portrait" paperSize="9" scale="75" r:id="rId1"/>
  <headerFooter alignWithMargins="0">
    <oddFooter>&amp;C&amp;"Times New Roman,Normalny"&amp;12Strona &amp;P z &amp;N</oddFooter>
  </headerFooter>
  <rowBreaks count="2" manualBreakCount="2">
    <brk id="42" max="255" man="1"/>
    <brk id="84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showGridLines="0" defaultGridColor="0" view="pageBreakPreview" zoomScale="90" zoomScaleSheetLayoutView="90" colorId="15" workbookViewId="0" topLeftCell="A1">
      <selection activeCell="M8" sqref="M8"/>
    </sheetView>
  </sheetViews>
  <sheetFormatPr defaultColWidth="9.00390625" defaultRowHeight="12.75"/>
  <cols>
    <col min="1" max="1" width="6.375" style="210" customWidth="1"/>
    <col min="2" max="2" width="9.875" style="210" customWidth="1"/>
    <col min="3" max="3" width="6.875" style="210" customWidth="1"/>
    <col min="4" max="4" width="29.125" style="210" customWidth="1"/>
    <col min="5" max="5" width="14.875" style="210" customWidth="1"/>
    <col min="6" max="6" width="13.625" style="210" customWidth="1"/>
    <col min="7" max="7" width="15.625" style="210" customWidth="1"/>
    <col min="8" max="8" width="15.75390625" style="210" customWidth="1"/>
    <col min="9" max="9" width="12.25390625" style="210" customWidth="1"/>
    <col min="10" max="10" width="15.875" style="210" customWidth="1"/>
    <col min="11" max="16384" width="9.00390625" style="210" customWidth="1"/>
  </cols>
  <sheetData>
    <row r="1" spans="1:10" ht="21.75" customHeight="1">
      <c r="A1" s="751" t="s">
        <v>644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0" ht="60" customHeight="1">
      <c r="A2" s="752" t="s">
        <v>645</v>
      </c>
      <c r="B2" s="752"/>
      <c r="C2" s="752"/>
      <c r="D2" s="752"/>
      <c r="E2" s="752"/>
      <c r="F2" s="752"/>
      <c r="G2" s="752"/>
      <c r="H2" s="752"/>
      <c r="I2" s="752"/>
      <c r="J2" s="752"/>
    </row>
    <row r="3" ht="9.75" customHeight="1">
      <c r="J3" s="121" t="s">
        <v>274</v>
      </c>
    </row>
    <row r="4" spans="1:10" s="212" customFormat="1" ht="15" customHeight="1">
      <c r="A4" s="753" t="s">
        <v>275</v>
      </c>
      <c r="B4" s="753" t="s">
        <v>296</v>
      </c>
      <c r="C4" s="753" t="s">
        <v>297</v>
      </c>
      <c r="D4" s="754" t="s">
        <v>437</v>
      </c>
      <c r="E4" s="754" t="s">
        <v>438</v>
      </c>
      <c r="F4" s="755" t="s">
        <v>300</v>
      </c>
      <c r="G4" s="755"/>
      <c r="H4" s="755"/>
      <c r="I4" s="755"/>
      <c r="J4" s="755"/>
    </row>
    <row r="5" spans="1:10" s="212" customFormat="1" ht="12" customHeight="1">
      <c r="A5" s="753"/>
      <c r="B5" s="753"/>
      <c r="C5" s="753"/>
      <c r="D5" s="754"/>
      <c r="E5" s="754"/>
      <c r="F5" s="754" t="s">
        <v>646</v>
      </c>
      <c r="G5" s="755" t="s">
        <v>216</v>
      </c>
      <c r="H5" s="755"/>
      <c r="I5" s="755"/>
      <c r="J5" s="754" t="s">
        <v>647</v>
      </c>
    </row>
    <row r="6" spans="1:10" s="212" customFormat="1" ht="65.25" customHeight="1">
      <c r="A6" s="753"/>
      <c r="B6" s="753"/>
      <c r="C6" s="753"/>
      <c r="D6" s="754"/>
      <c r="E6" s="754"/>
      <c r="F6" s="754"/>
      <c r="G6" s="211" t="s">
        <v>648</v>
      </c>
      <c r="H6" s="211" t="s">
        <v>649</v>
      </c>
      <c r="I6" s="211" t="s">
        <v>650</v>
      </c>
      <c r="J6" s="754"/>
    </row>
    <row r="7" spans="1:10" ht="9" customHeight="1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>
        <v>8</v>
      </c>
      <c r="I7" s="213">
        <v>9</v>
      </c>
      <c r="J7" s="213">
        <v>10</v>
      </c>
    </row>
    <row r="8" spans="1:12" ht="15.75">
      <c r="A8" s="63">
        <v>710</v>
      </c>
      <c r="B8" s="63"/>
      <c r="C8" s="63"/>
      <c r="D8" s="64" t="s">
        <v>493</v>
      </c>
      <c r="E8" s="55">
        <f aca="true" t="shared" si="0" ref="E8:J8">E9</f>
        <v>7000</v>
      </c>
      <c r="F8" s="55">
        <f t="shared" si="0"/>
        <v>7000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86"/>
      <c r="L8" s="86"/>
    </row>
    <row r="9" spans="1:10" ht="15.75">
      <c r="A9" s="65"/>
      <c r="B9" s="65">
        <v>71035</v>
      </c>
      <c r="C9" s="65"/>
      <c r="D9" s="66" t="s">
        <v>328</v>
      </c>
      <c r="E9" s="58">
        <f>E10</f>
        <v>7000</v>
      </c>
      <c r="F9" s="58">
        <f>F10</f>
        <v>7000</v>
      </c>
      <c r="G9" s="213"/>
      <c r="H9" s="213"/>
      <c r="I9" s="213"/>
      <c r="J9" s="213"/>
    </row>
    <row r="10" spans="1:10" s="116" customFormat="1" ht="19.5" customHeight="1">
      <c r="A10" s="214"/>
      <c r="B10" s="214"/>
      <c r="C10" s="214">
        <v>4300</v>
      </c>
      <c r="D10" s="215" t="s">
        <v>569</v>
      </c>
      <c r="E10" s="70">
        <f>F10</f>
        <v>7000</v>
      </c>
      <c r="F10" s="70">
        <v>7000</v>
      </c>
      <c r="G10" s="214"/>
      <c r="H10" s="214"/>
      <c r="I10" s="214"/>
      <c r="J10" s="214"/>
    </row>
    <row r="12" ht="12.75">
      <c r="A12" s="216"/>
    </row>
  </sheetData>
  <mergeCells count="11">
    <mergeCell ref="J5:J6"/>
    <mergeCell ref="A1:J1"/>
    <mergeCell ref="A2:J2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95" r:id="rId1"/>
  <headerFooter alignWithMargins="0">
    <oddFooter>&amp;C&amp;"Times New Roman,Normalny"&amp;12Strona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showGridLines="0" defaultGridColor="0" view="pageBreakPreview" zoomScale="90" zoomScaleSheetLayoutView="90" colorId="15" workbookViewId="0" topLeftCell="A1">
      <selection activeCell="L7" sqref="L7"/>
    </sheetView>
  </sheetViews>
  <sheetFormatPr defaultColWidth="9.00390625" defaultRowHeight="12.75"/>
  <cols>
    <col min="1" max="1" width="5.625" style="42" customWidth="1"/>
    <col min="2" max="2" width="8.75390625" style="42" customWidth="1"/>
    <col min="3" max="3" width="6.875" style="42" customWidth="1"/>
    <col min="4" max="4" width="44.875" style="101" customWidth="1"/>
    <col min="5" max="5" width="14.875" style="101" customWidth="1"/>
    <col min="6" max="6" width="10.625" style="101" customWidth="1"/>
    <col min="7" max="7" width="13.375" style="101" customWidth="1"/>
    <col min="8" max="9" width="10.625" style="101" customWidth="1"/>
    <col min="10" max="10" width="12.25390625" style="101" customWidth="1"/>
    <col min="11" max="16384" width="9.00390625" style="42" customWidth="1"/>
  </cols>
  <sheetData>
    <row r="1" spans="1:10" ht="15" customHeight="1">
      <c r="A1" s="725" t="s">
        <v>651</v>
      </c>
      <c r="B1" s="725"/>
      <c r="C1" s="725"/>
      <c r="D1" s="725"/>
      <c r="E1" s="725"/>
      <c r="F1" s="725"/>
      <c r="G1" s="725"/>
      <c r="H1" s="725"/>
      <c r="I1" s="725"/>
      <c r="J1" s="725"/>
    </row>
    <row r="2" spans="1:10" ht="54.75" customHeight="1">
      <c r="A2" s="729" t="s">
        <v>652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 customHeight="1">
      <c r="A3" s="756" t="s">
        <v>449</v>
      </c>
      <c r="B3" s="756"/>
      <c r="C3" s="756"/>
      <c r="J3" s="198" t="s">
        <v>274</v>
      </c>
    </row>
    <row r="4" spans="1:10" s="165" customFormat="1" ht="14.25" customHeight="1">
      <c r="A4" s="727" t="s">
        <v>275</v>
      </c>
      <c r="B4" s="727" t="s">
        <v>296</v>
      </c>
      <c r="C4" s="727" t="s">
        <v>297</v>
      </c>
      <c r="D4" s="726" t="s">
        <v>437</v>
      </c>
      <c r="E4" s="757" t="s">
        <v>463</v>
      </c>
      <c r="F4" s="757" t="s">
        <v>300</v>
      </c>
      <c r="G4" s="757"/>
      <c r="H4" s="757"/>
      <c r="I4" s="757"/>
      <c r="J4" s="757"/>
    </row>
    <row r="5" spans="1:10" s="165" customFormat="1" ht="14.25" customHeight="1">
      <c r="A5" s="727"/>
      <c r="B5" s="727"/>
      <c r="C5" s="727"/>
      <c r="D5" s="726"/>
      <c r="E5" s="757"/>
      <c r="F5" s="757" t="s">
        <v>646</v>
      </c>
      <c r="G5" s="757" t="s">
        <v>216</v>
      </c>
      <c r="H5" s="757"/>
      <c r="I5" s="757"/>
      <c r="J5" s="757" t="s">
        <v>647</v>
      </c>
    </row>
    <row r="6" spans="1:10" s="165" customFormat="1" ht="54.75" customHeight="1">
      <c r="A6" s="727"/>
      <c r="B6" s="727"/>
      <c r="C6" s="727"/>
      <c r="D6" s="726"/>
      <c r="E6" s="757"/>
      <c r="F6" s="757"/>
      <c r="G6" s="217" t="s">
        <v>472</v>
      </c>
      <c r="H6" s="217" t="s">
        <v>638</v>
      </c>
      <c r="I6" s="217" t="s">
        <v>653</v>
      </c>
      <c r="J6" s="757"/>
    </row>
    <row r="7" spans="1:10" ht="15.75">
      <c r="A7" s="67">
        <v>1</v>
      </c>
      <c r="B7" s="67">
        <v>2</v>
      </c>
      <c r="C7" s="67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</row>
    <row r="8" spans="1:10" ht="15.75">
      <c r="A8" s="63">
        <v>600</v>
      </c>
      <c r="B8" s="63"/>
      <c r="C8" s="63"/>
      <c r="D8" s="64" t="s">
        <v>309</v>
      </c>
      <c r="E8" s="55">
        <f aca="true" t="shared" si="0" ref="E8:J9">E9</f>
        <v>978250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978250</v>
      </c>
    </row>
    <row r="9" spans="1:10" ht="15.75">
      <c r="A9" s="65"/>
      <c r="B9" s="65">
        <v>60016</v>
      </c>
      <c r="C9" s="65"/>
      <c r="D9" s="66" t="s">
        <v>310</v>
      </c>
      <c r="E9" s="58">
        <f t="shared" si="0"/>
        <v>978250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978250</v>
      </c>
    </row>
    <row r="10" spans="1:10" ht="63">
      <c r="A10" s="65"/>
      <c r="B10" s="67"/>
      <c r="C10" s="193">
        <v>6628</v>
      </c>
      <c r="D10" s="218" t="s">
        <v>488</v>
      </c>
      <c r="E10" s="61">
        <f>J10</f>
        <v>978250</v>
      </c>
      <c r="F10" s="71"/>
      <c r="G10" s="61"/>
      <c r="H10" s="61"/>
      <c r="I10" s="61"/>
      <c r="J10" s="61">
        <f>'zał 11'!E28</f>
        <v>978250</v>
      </c>
    </row>
    <row r="11" spans="1:10" ht="15.75">
      <c r="A11" s="63">
        <v>710</v>
      </c>
      <c r="B11" s="63"/>
      <c r="C11" s="63"/>
      <c r="D11" s="64" t="s">
        <v>493</v>
      </c>
      <c r="E11" s="55">
        <f aca="true" t="shared" si="1" ref="E11:J11">E15+E12+E17+E21</f>
        <v>40000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40000</v>
      </c>
    </row>
    <row r="12" spans="1:10" ht="15.75">
      <c r="A12" s="65"/>
      <c r="B12" s="65">
        <v>71035</v>
      </c>
      <c r="C12" s="65"/>
      <c r="D12" s="66" t="s">
        <v>328</v>
      </c>
      <c r="E12" s="58">
        <f aca="true" t="shared" si="2" ref="E12:J12">E13</f>
        <v>40000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40000</v>
      </c>
    </row>
    <row r="13" spans="1:10" ht="15.75">
      <c r="A13" s="65"/>
      <c r="B13" s="67"/>
      <c r="C13" s="67">
        <v>6058</v>
      </c>
      <c r="D13" s="1" t="s">
        <v>487</v>
      </c>
      <c r="E13" s="61">
        <f>J13</f>
        <v>40000</v>
      </c>
      <c r="F13" s="61"/>
      <c r="G13" s="71"/>
      <c r="H13" s="71"/>
      <c r="I13" s="61"/>
      <c r="J13" s="61">
        <f>'zał 7'!O46</f>
        <v>40000</v>
      </c>
    </row>
    <row r="14" spans="1:10" ht="15" customHeight="1">
      <c r="A14" s="734" t="s">
        <v>434</v>
      </c>
      <c r="B14" s="734"/>
      <c r="C14" s="734"/>
      <c r="D14" s="734"/>
      <c r="E14" s="88">
        <f aca="true" t="shared" si="3" ref="E14:J14">E8+E11</f>
        <v>1018250</v>
      </c>
      <c r="F14" s="88">
        <f t="shared" si="3"/>
        <v>0</v>
      </c>
      <c r="G14" s="88">
        <f t="shared" si="3"/>
        <v>0</v>
      </c>
      <c r="H14" s="88">
        <f t="shared" si="3"/>
        <v>0</v>
      </c>
      <c r="I14" s="88">
        <f t="shared" si="3"/>
        <v>0</v>
      </c>
      <c r="J14" s="88">
        <f t="shared" si="3"/>
        <v>1018250</v>
      </c>
    </row>
  </sheetData>
  <mergeCells count="13">
    <mergeCell ref="G5:I5"/>
    <mergeCell ref="J5:J6"/>
    <mergeCell ref="A14:D14"/>
    <mergeCell ref="A1:J1"/>
    <mergeCell ref="A2:J2"/>
    <mergeCell ref="A3:C3"/>
    <mergeCell ref="A4:A6"/>
    <mergeCell ref="B4:B6"/>
    <mergeCell ref="C4:C6"/>
    <mergeCell ref="D4:D6"/>
    <mergeCell ref="E4:E6"/>
    <mergeCell ref="F4:J4"/>
    <mergeCell ref="F5:F6"/>
  </mergeCells>
  <printOptions horizontalCentered="1" vertic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95" r:id="rId1"/>
  <headerFooter alignWithMargins="0">
    <oddFooter>&amp;C&amp;"Times New Roman,Normalny"&amp;12Strona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7"/>
  <sheetViews>
    <sheetView showGridLines="0" defaultGridColor="0" view="pageBreakPreview" zoomScale="90" zoomScaleSheetLayoutView="90" colorId="15" workbookViewId="0" topLeftCell="A55">
      <selection activeCell="E74" sqref="E74"/>
    </sheetView>
  </sheetViews>
  <sheetFormatPr defaultColWidth="9.00390625" defaultRowHeight="12.75"/>
  <cols>
    <col min="1" max="1" width="6.75390625" style="116" customWidth="1"/>
    <col min="2" max="2" width="7.375" style="116" customWidth="1"/>
    <col min="3" max="3" width="6.25390625" style="116" customWidth="1"/>
    <col min="4" max="4" width="64.75390625" style="117" customWidth="1"/>
    <col min="5" max="5" width="12.75390625" style="137" customWidth="1"/>
    <col min="6" max="16384" width="11.75390625" style="116" customWidth="1"/>
  </cols>
  <sheetData>
    <row r="1" spans="1:6" s="210" customFormat="1" ht="15" customHeight="1">
      <c r="A1" s="219"/>
      <c r="B1" s="219"/>
      <c r="C1" s="219"/>
      <c r="D1" s="758" t="s">
        <v>654</v>
      </c>
      <c r="E1" s="758"/>
      <c r="F1" s="219"/>
    </row>
    <row r="2" spans="1:6" ht="15.75">
      <c r="A2" s="118"/>
      <c r="B2" s="118"/>
      <c r="C2" s="118"/>
      <c r="D2" s="220"/>
      <c r="E2" s="118"/>
      <c r="F2" s="118"/>
    </row>
    <row r="3" spans="1:5" s="221" customFormat="1" ht="15" customHeight="1">
      <c r="A3" s="759" t="s">
        <v>655</v>
      </c>
      <c r="B3" s="759"/>
      <c r="C3" s="759"/>
      <c r="D3" s="759"/>
      <c r="E3" s="759"/>
    </row>
    <row r="4" spans="1:5" s="221" customFormat="1" ht="15.75">
      <c r="A4" s="222"/>
      <c r="B4" s="222"/>
      <c r="C4" s="222"/>
      <c r="D4" s="222"/>
      <c r="E4" s="223" t="s">
        <v>274</v>
      </c>
    </row>
    <row r="5" spans="1:5" s="225" customFormat="1" ht="15" customHeight="1">
      <c r="A5" s="760" t="s">
        <v>275</v>
      </c>
      <c r="B5" s="761" t="s">
        <v>296</v>
      </c>
      <c r="C5" s="761" t="s">
        <v>297</v>
      </c>
      <c r="D5" s="761" t="s">
        <v>437</v>
      </c>
      <c r="E5" s="761" t="s">
        <v>299</v>
      </c>
    </row>
    <row r="6" spans="1:5" s="225" customFormat="1" ht="12.75">
      <c r="A6" s="760"/>
      <c r="B6" s="761"/>
      <c r="C6" s="761"/>
      <c r="D6" s="761"/>
      <c r="E6" s="761"/>
    </row>
    <row r="7" spans="1:5" s="225" customFormat="1" ht="12.75">
      <c r="A7" s="226" t="s">
        <v>656</v>
      </c>
      <c r="B7" s="227">
        <v>2</v>
      </c>
      <c r="C7" s="227">
        <v>3</v>
      </c>
      <c r="D7" s="227">
        <v>4</v>
      </c>
      <c r="E7" s="227">
        <v>5</v>
      </c>
    </row>
    <row r="8" spans="1:5" ht="15.75">
      <c r="A8" s="228">
        <v>400</v>
      </c>
      <c r="B8" s="228"/>
      <c r="C8" s="228"/>
      <c r="D8" s="229" t="s">
        <v>479</v>
      </c>
      <c r="E8" s="230">
        <f>SUM(E9)</f>
        <v>783000</v>
      </c>
    </row>
    <row r="9" spans="1:5" s="221" customFormat="1" ht="15.75">
      <c r="A9" s="170"/>
      <c r="B9" s="170">
        <v>40002</v>
      </c>
      <c r="C9" s="170"/>
      <c r="D9" s="231" t="s">
        <v>480</v>
      </c>
      <c r="E9" s="232">
        <f>SUM(E10)</f>
        <v>783000</v>
      </c>
    </row>
    <row r="10" spans="1:5" ht="15.75">
      <c r="A10" s="170"/>
      <c r="B10" s="193"/>
      <c r="C10" s="193">
        <v>6050</v>
      </c>
      <c r="D10" s="194" t="s">
        <v>482</v>
      </c>
      <c r="E10" s="70">
        <f>SUM(E11:E13)</f>
        <v>783000</v>
      </c>
    </row>
    <row r="11" spans="1:5" ht="15.75">
      <c r="A11" s="170"/>
      <c r="B11" s="193"/>
      <c r="C11" s="193"/>
      <c r="D11" s="194" t="s">
        <v>657</v>
      </c>
      <c r="E11" s="70">
        <v>200000</v>
      </c>
    </row>
    <row r="12" spans="1:5" ht="15.75">
      <c r="A12" s="170"/>
      <c r="B12" s="193"/>
      <c r="C12" s="193"/>
      <c r="D12" s="194" t="s">
        <v>658</v>
      </c>
      <c r="E12" s="70">
        <v>500000</v>
      </c>
    </row>
    <row r="13" spans="1:5" ht="31.5">
      <c r="A13" s="170"/>
      <c r="B13" s="193"/>
      <c r="C13" s="193"/>
      <c r="D13" s="194" t="s">
        <v>659</v>
      </c>
      <c r="E13" s="70">
        <v>83000</v>
      </c>
    </row>
    <row r="14" spans="1:5" ht="15.75">
      <c r="A14" s="228">
        <v>600</v>
      </c>
      <c r="B14" s="228"/>
      <c r="C14" s="228"/>
      <c r="D14" s="229" t="s">
        <v>309</v>
      </c>
      <c r="E14" s="230">
        <f>E15+E18</f>
        <v>9391295</v>
      </c>
    </row>
    <row r="15" spans="1:5" ht="15.75">
      <c r="A15" s="170"/>
      <c r="B15" s="170">
        <v>60013</v>
      </c>
      <c r="C15" s="170"/>
      <c r="D15" s="171" t="s">
        <v>483</v>
      </c>
      <c r="E15" s="172">
        <f>E16</f>
        <v>2881295</v>
      </c>
    </row>
    <row r="16" spans="1:5" ht="47.25">
      <c r="A16" s="170"/>
      <c r="B16" s="193"/>
      <c r="C16" s="214">
        <v>6630</v>
      </c>
      <c r="D16" s="218" t="s">
        <v>484</v>
      </c>
      <c r="E16" s="233">
        <f>E17</f>
        <v>2881295</v>
      </c>
    </row>
    <row r="17" spans="1:5" ht="31.5">
      <c r="A17" s="170"/>
      <c r="B17" s="193"/>
      <c r="C17" s="214"/>
      <c r="D17" s="194" t="s">
        <v>660</v>
      </c>
      <c r="E17" s="70">
        <v>2881295</v>
      </c>
    </row>
    <row r="18" spans="1:5" s="221" customFormat="1" ht="15.75">
      <c r="A18" s="170"/>
      <c r="B18" s="170">
        <v>60016</v>
      </c>
      <c r="C18" s="170"/>
      <c r="D18" s="171" t="s">
        <v>310</v>
      </c>
      <c r="E18" s="232">
        <f>E19+E28+E30</f>
        <v>6510000</v>
      </c>
    </row>
    <row r="19" spans="1:5" ht="15.75">
      <c r="A19" s="170"/>
      <c r="B19" s="193"/>
      <c r="C19" s="193">
        <v>6050</v>
      </c>
      <c r="D19" s="194" t="s">
        <v>661</v>
      </c>
      <c r="E19" s="70">
        <f>SUM(E20:E27)</f>
        <v>4510000</v>
      </c>
    </row>
    <row r="20" spans="1:5" ht="15.75">
      <c r="A20" s="170"/>
      <c r="B20" s="193"/>
      <c r="C20" s="214"/>
      <c r="D20" s="194" t="s">
        <v>662</v>
      </c>
      <c r="E20" s="70">
        <v>30000</v>
      </c>
    </row>
    <row r="21" spans="1:5" ht="15.75">
      <c r="A21" s="170"/>
      <c r="B21" s="193"/>
      <c r="C21" s="214"/>
      <c r="D21" s="234" t="s">
        <v>663</v>
      </c>
      <c r="E21" s="70">
        <v>250000</v>
      </c>
    </row>
    <row r="22" spans="1:5" ht="15.75">
      <c r="A22" s="170"/>
      <c r="B22" s="193"/>
      <c r="C22" s="214"/>
      <c r="D22" s="194" t="s">
        <v>664</v>
      </c>
      <c r="E22" s="70">
        <v>200000</v>
      </c>
    </row>
    <row r="23" spans="1:5" ht="15.75">
      <c r="A23" s="170"/>
      <c r="B23" s="193"/>
      <c r="C23" s="214"/>
      <c r="D23" s="235" t="s">
        <v>665</v>
      </c>
      <c r="E23" s="70">
        <v>430000</v>
      </c>
    </row>
    <row r="24" spans="1:5" ht="15.75">
      <c r="A24" s="170"/>
      <c r="B24" s="193"/>
      <c r="C24" s="214"/>
      <c r="D24" s="194" t="s">
        <v>666</v>
      </c>
      <c r="E24" s="70">
        <v>1300000</v>
      </c>
    </row>
    <row r="25" spans="1:5" ht="15.75">
      <c r="A25" s="170"/>
      <c r="B25" s="193"/>
      <c r="C25" s="214"/>
      <c r="D25" s="194" t="s">
        <v>667</v>
      </c>
      <c r="E25" s="70">
        <v>250000</v>
      </c>
    </row>
    <row r="26" spans="1:5" ht="15.75">
      <c r="A26" s="170"/>
      <c r="B26" s="193"/>
      <c r="C26" s="214"/>
      <c r="D26" s="194" t="s">
        <v>668</v>
      </c>
      <c r="E26" s="70">
        <v>1900000</v>
      </c>
    </row>
    <row r="27" spans="1:5" ht="15.75">
      <c r="A27" s="170"/>
      <c r="B27" s="193"/>
      <c r="C27" s="214"/>
      <c r="D27" s="234" t="s">
        <v>669</v>
      </c>
      <c r="E27" s="70">
        <v>150000</v>
      </c>
    </row>
    <row r="28" spans="1:5" ht="47.25">
      <c r="A28" s="170"/>
      <c r="B28" s="193"/>
      <c r="C28" s="214">
        <v>6628</v>
      </c>
      <c r="D28" s="218" t="s">
        <v>488</v>
      </c>
      <c r="E28" s="70">
        <f>E29</f>
        <v>978250</v>
      </c>
    </row>
    <row r="29" spans="1:5" ht="31.5">
      <c r="A29" s="170"/>
      <c r="B29" s="193"/>
      <c r="C29" s="214"/>
      <c r="D29" s="194" t="s">
        <v>670</v>
      </c>
      <c r="E29" s="70">
        <v>978250</v>
      </c>
    </row>
    <row r="30" spans="1:5" ht="47.25">
      <c r="A30" s="170"/>
      <c r="B30" s="193"/>
      <c r="C30" s="214">
        <v>6629</v>
      </c>
      <c r="D30" s="218" t="s">
        <v>488</v>
      </c>
      <c r="E30" s="70">
        <f>E31</f>
        <v>1021750</v>
      </c>
    </row>
    <row r="31" spans="1:5" ht="31.5">
      <c r="A31" s="170"/>
      <c r="B31" s="193"/>
      <c r="C31" s="214"/>
      <c r="D31" s="194" t="s">
        <v>670</v>
      </c>
      <c r="E31" s="70">
        <f>2000000-E29</f>
        <v>1021750</v>
      </c>
    </row>
    <row r="32" spans="1:5" ht="15.75">
      <c r="A32" s="228">
        <v>710</v>
      </c>
      <c r="B32" s="228"/>
      <c r="C32" s="228"/>
      <c r="D32" s="229" t="s">
        <v>493</v>
      </c>
      <c r="E32" s="230">
        <f>SUM(E33)</f>
        <v>1240000</v>
      </c>
    </row>
    <row r="33" spans="1:5" s="221" customFormat="1" ht="15.75">
      <c r="A33" s="170"/>
      <c r="B33" s="170">
        <v>71035</v>
      </c>
      <c r="C33" s="170"/>
      <c r="D33" s="171" t="s">
        <v>328</v>
      </c>
      <c r="E33" s="232">
        <f>SUM(E34,E37)</f>
        <v>1240000</v>
      </c>
    </row>
    <row r="34" spans="1:5" ht="15.75">
      <c r="A34" s="170"/>
      <c r="B34" s="193"/>
      <c r="C34" s="193">
        <v>6050</v>
      </c>
      <c r="D34" s="194" t="s">
        <v>487</v>
      </c>
      <c r="E34" s="70">
        <f>SUM(E35:E36)</f>
        <v>1200000</v>
      </c>
    </row>
    <row r="35" spans="1:5" s="221" customFormat="1" ht="15.75">
      <c r="A35" s="170"/>
      <c r="B35" s="214"/>
      <c r="C35" s="214"/>
      <c r="D35" s="194" t="s">
        <v>671</v>
      </c>
      <c r="E35" s="70">
        <v>1100000</v>
      </c>
    </row>
    <row r="36" spans="1:5" ht="32.25" customHeight="1">
      <c r="A36" s="170"/>
      <c r="B36" s="214"/>
      <c r="C36" s="214"/>
      <c r="D36" s="194" t="s">
        <v>672</v>
      </c>
      <c r="E36" s="70">
        <v>100000</v>
      </c>
    </row>
    <row r="37" spans="1:5" ht="15.75">
      <c r="A37" s="170"/>
      <c r="B37" s="214"/>
      <c r="C37" s="193">
        <v>6058</v>
      </c>
      <c r="D37" s="194" t="s">
        <v>487</v>
      </c>
      <c r="E37" s="70">
        <f>E38</f>
        <v>40000</v>
      </c>
    </row>
    <row r="38" spans="1:5" ht="31.5">
      <c r="A38" s="170"/>
      <c r="B38" s="214"/>
      <c r="C38" s="214"/>
      <c r="D38" s="194" t="s">
        <v>673</v>
      </c>
      <c r="E38" s="70">
        <v>40000</v>
      </c>
    </row>
    <row r="39" spans="1:5" ht="31.5">
      <c r="A39" s="228">
        <v>754</v>
      </c>
      <c r="B39" s="228"/>
      <c r="C39" s="228"/>
      <c r="D39" s="229" t="s">
        <v>674</v>
      </c>
      <c r="E39" s="230">
        <f>SUM(E40)</f>
        <v>1300000</v>
      </c>
    </row>
    <row r="40" spans="1:5" ht="15.75">
      <c r="A40" s="170"/>
      <c r="B40" s="170">
        <v>75412</v>
      </c>
      <c r="C40" s="170"/>
      <c r="D40" s="171" t="s">
        <v>526</v>
      </c>
      <c r="E40" s="232">
        <f>SUM(E41)</f>
        <v>1300000</v>
      </c>
    </row>
    <row r="41" spans="1:5" s="221" customFormat="1" ht="15.75">
      <c r="A41" s="170"/>
      <c r="B41" s="193"/>
      <c r="C41" s="193">
        <v>6050</v>
      </c>
      <c r="D41" s="194" t="s">
        <v>482</v>
      </c>
      <c r="E41" s="70">
        <f>SUM(E42)</f>
        <v>1300000</v>
      </c>
    </row>
    <row r="42" spans="1:5" ht="31.5">
      <c r="A42" s="170"/>
      <c r="B42" s="193"/>
      <c r="C42" s="193"/>
      <c r="D42" s="194" t="s">
        <v>675</v>
      </c>
      <c r="E42" s="70">
        <v>1300000</v>
      </c>
    </row>
    <row r="43" spans="1:5" ht="15.75">
      <c r="A43" s="228">
        <v>801</v>
      </c>
      <c r="B43" s="228"/>
      <c r="C43" s="228"/>
      <c r="D43" s="229" t="s">
        <v>399</v>
      </c>
      <c r="E43" s="230">
        <f>E44+E49</f>
        <v>595000</v>
      </c>
    </row>
    <row r="44" spans="1:5" ht="15.75">
      <c r="A44" s="236"/>
      <c r="B44" s="236">
        <v>80101</v>
      </c>
      <c r="C44" s="236"/>
      <c r="D44" s="171" t="s">
        <v>400</v>
      </c>
      <c r="E44" s="237">
        <f>E45</f>
        <v>589500</v>
      </c>
    </row>
    <row r="45" spans="1:5" ht="15.75">
      <c r="A45" s="238"/>
      <c r="B45" s="238"/>
      <c r="C45" s="193">
        <v>6050</v>
      </c>
      <c r="D45" s="194" t="s">
        <v>487</v>
      </c>
      <c r="E45" s="70">
        <f>SUM(E46:E48)</f>
        <v>589500</v>
      </c>
    </row>
    <row r="46" spans="1:5" ht="15.75">
      <c r="A46" s="238"/>
      <c r="B46" s="238"/>
      <c r="C46" s="239"/>
      <c r="D46" s="240" t="s">
        <v>676</v>
      </c>
      <c r="E46" s="241">
        <v>127700</v>
      </c>
    </row>
    <row r="47" spans="1:5" ht="15.75">
      <c r="A47" s="238"/>
      <c r="B47" s="238"/>
      <c r="C47" s="239"/>
      <c r="D47" s="240" t="s">
        <v>677</v>
      </c>
      <c r="E47" s="241">
        <v>230900</v>
      </c>
    </row>
    <row r="48" spans="1:5" ht="15.75">
      <c r="A48" s="238"/>
      <c r="B48" s="238"/>
      <c r="C48" s="239"/>
      <c r="D48" s="240" t="s">
        <v>678</v>
      </c>
      <c r="E48" s="241">
        <v>230900</v>
      </c>
    </row>
    <row r="49" spans="1:5" ht="15.75">
      <c r="A49" s="242"/>
      <c r="B49" s="243">
        <v>80148</v>
      </c>
      <c r="C49" s="244"/>
      <c r="D49" s="245" t="s">
        <v>410</v>
      </c>
      <c r="E49" s="246">
        <f>E50</f>
        <v>5500</v>
      </c>
    </row>
    <row r="50" spans="1:5" ht="15.75">
      <c r="A50" s="193"/>
      <c r="B50" s="193"/>
      <c r="C50" s="193">
        <v>6060</v>
      </c>
      <c r="D50" s="194" t="s">
        <v>588</v>
      </c>
      <c r="E50" s="70">
        <f>E51</f>
        <v>5500</v>
      </c>
    </row>
    <row r="51" spans="1:5" ht="15.75">
      <c r="A51" s="193"/>
      <c r="B51" s="193"/>
      <c r="C51" s="193"/>
      <c r="D51" s="194" t="s">
        <v>679</v>
      </c>
      <c r="E51" s="70">
        <f>'zał 19'!L56+'zał 20'!L52</f>
        <v>5500</v>
      </c>
    </row>
    <row r="52" spans="1:5" ht="15.75">
      <c r="A52" s="228">
        <v>900</v>
      </c>
      <c r="B52" s="228"/>
      <c r="C52" s="228"/>
      <c r="D52" s="229" t="s">
        <v>616</v>
      </c>
      <c r="E52" s="230">
        <f>E53+E59+E56</f>
        <v>320434</v>
      </c>
    </row>
    <row r="53" spans="1:5" ht="15.75">
      <c r="A53" s="170"/>
      <c r="B53" s="170">
        <v>90001</v>
      </c>
      <c r="C53" s="170"/>
      <c r="D53" s="171" t="s">
        <v>617</v>
      </c>
      <c r="E53" s="232">
        <f>E54</f>
        <v>75000</v>
      </c>
    </row>
    <row r="54" spans="1:5" s="221" customFormat="1" ht="15.75">
      <c r="A54" s="170"/>
      <c r="B54" s="193"/>
      <c r="C54" s="193">
        <v>6050</v>
      </c>
      <c r="D54" s="194" t="s">
        <v>487</v>
      </c>
      <c r="E54" s="70">
        <f>E55</f>
        <v>75000</v>
      </c>
    </row>
    <row r="55" spans="1:5" ht="31.5">
      <c r="A55" s="170"/>
      <c r="B55" s="193"/>
      <c r="C55" s="193"/>
      <c r="D55" s="194" t="s">
        <v>680</v>
      </c>
      <c r="E55" s="70">
        <v>75000</v>
      </c>
    </row>
    <row r="56" spans="1:5" s="221" customFormat="1" ht="15.75">
      <c r="A56" s="247"/>
      <c r="B56" s="170">
        <v>90015</v>
      </c>
      <c r="C56" s="170"/>
      <c r="D56" s="171" t="s">
        <v>621</v>
      </c>
      <c r="E56" s="232">
        <f>SUM(E57)</f>
        <v>240000</v>
      </c>
    </row>
    <row r="57" spans="1:5" s="221" customFormat="1" ht="15.75">
      <c r="A57" s="247"/>
      <c r="B57" s="170"/>
      <c r="C57" s="193">
        <v>6050</v>
      </c>
      <c r="D57" s="194" t="s">
        <v>487</v>
      </c>
      <c r="E57" s="70">
        <f>SUM(E58:E58)</f>
        <v>240000</v>
      </c>
    </row>
    <row r="58" spans="1:5" s="221" customFormat="1" ht="15.75">
      <c r="A58" s="247"/>
      <c r="B58" s="170"/>
      <c r="C58" s="170"/>
      <c r="D58" s="194" t="s">
        <v>681</v>
      </c>
      <c r="E58" s="70">
        <v>240000</v>
      </c>
    </row>
    <row r="59" spans="1:5" ht="15.75">
      <c r="A59" s="170"/>
      <c r="B59" s="170">
        <v>90095</v>
      </c>
      <c r="C59" s="170"/>
      <c r="D59" s="171" t="s">
        <v>306</v>
      </c>
      <c r="E59" s="232">
        <f>SUM(E60)</f>
        <v>5434</v>
      </c>
    </row>
    <row r="60" spans="1:5" ht="15.75">
      <c r="A60" s="193"/>
      <c r="B60" s="193"/>
      <c r="C60" s="193">
        <v>6050</v>
      </c>
      <c r="D60" s="194" t="s">
        <v>487</v>
      </c>
      <c r="E60" s="70">
        <f>E61</f>
        <v>5434</v>
      </c>
    </row>
    <row r="61" spans="1:5" ht="15.75">
      <c r="A61" s="193"/>
      <c r="B61" s="193"/>
      <c r="C61" s="214"/>
      <c r="D61" s="194" t="s">
        <v>682</v>
      </c>
      <c r="E61" s="70">
        <v>5434</v>
      </c>
    </row>
    <row r="62" spans="1:5" ht="15.75">
      <c r="A62" s="228">
        <v>921</v>
      </c>
      <c r="B62" s="228"/>
      <c r="C62" s="228"/>
      <c r="D62" s="229" t="s">
        <v>428</v>
      </c>
      <c r="E62" s="230">
        <f>E63+E66</f>
        <v>70000</v>
      </c>
    </row>
    <row r="63" spans="1:5" ht="15.75">
      <c r="A63" s="248"/>
      <c r="B63" s="248">
        <v>92109</v>
      </c>
      <c r="C63" s="248"/>
      <c r="D63" s="171" t="s">
        <v>429</v>
      </c>
      <c r="E63" s="172">
        <f>E64</f>
        <v>30000</v>
      </c>
    </row>
    <row r="64" spans="1:5" ht="15.75">
      <c r="A64" s="248"/>
      <c r="B64" s="248"/>
      <c r="C64" s="193">
        <v>6050</v>
      </c>
      <c r="D64" s="194" t="s">
        <v>482</v>
      </c>
      <c r="E64" s="70">
        <f>E65</f>
        <v>30000</v>
      </c>
    </row>
    <row r="65" spans="1:5" ht="15.75">
      <c r="A65" s="248"/>
      <c r="B65" s="248"/>
      <c r="C65" s="193"/>
      <c r="D65" s="194" t="s">
        <v>683</v>
      </c>
      <c r="E65" s="70">
        <v>30000</v>
      </c>
    </row>
    <row r="66" spans="1:5" ht="15.75">
      <c r="A66" s="170"/>
      <c r="B66" s="170">
        <v>92116</v>
      </c>
      <c r="C66" s="170"/>
      <c r="D66" s="171" t="s">
        <v>628</v>
      </c>
      <c r="E66" s="232">
        <f>E67</f>
        <v>40000</v>
      </c>
    </row>
    <row r="67" spans="1:5" ht="15.75">
      <c r="A67" s="170"/>
      <c r="B67" s="193"/>
      <c r="C67" s="193">
        <v>6050</v>
      </c>
      <c r="D67" s="194" t="s">
        <v>482</v>
      </c>
      <c r="E67" s="70">
        <f>E68</f>
        <v>40000</v>
      </c>
    </row>
    <row r="68" spans="1:5" ht="31.5">
      <c r="A68" s="170"/>
      <c r="B68" s="193"/>
      <c r="C68" s="193"/>
      <c r="D68" s="194" t="s">
        <v>684</v>
      </c>
      <c r="E68" s="70">
        <v>40000</v>
      </c>
    </row>
    <row r="69" spans="1:5" s="221" customFormat="1" ht="15.75">
      <c r="A69" s="228">
        <v>926</v>
      </c>
      <c r="B69" s="228"/>
      <c r="C69" s="228"/>
      <c r="D69" s="229" t="s">
        <v>431</v>
      </c>
      <c r="E69" s="230">
        <f>E71+E74</f>
        <v>1593564</v>
      </c>
    </row>
    <row r="70" spans="1:5" s="221" customFormat="1" ht="15.75">
      <c r="A70" s="170"/>
      <c r="B70" s="170">
        <v>92601</v>
      </c>
      <c r="C70" s="170"/>
      <c r="D70" s="171" t="s">
        <v>432</v>
      </c>
      <c r="E70" s="232">
        <f>E71</f>
        <v>1500000</v>
      </c>
    </row>
    <row r="71" spans="1:5" ht="15.75">
      <c r="A71" s="170"/>
      <c r="B71" s="193"/>
      <c r="C71" s="193">
        <v>6050</v>
      </c>
      <c r="D71" s="194" t="s">
        <v>482</v>
      </c>
      <c r="E71" s="70">
        <f>E72+E73</f>
        <v>1500000</v>
      </c>
    </row>
    <row r="72" spans="1:5" ht="31.5">
      <c r="A72" s="170"/>
      <c r="B72" s="193"/>
      <c r="C72" s="193"/>
      <c r="D72" s="194" t="s">
        <v>685</v>
      </c>
      <c r="E72" s="70">
        <v>500000</v>
      </c>
    </row>
    <row r="73" spans="1:5" ht="31.5">
      <c r="A73" s="170"/>
      <c r="B73" s="193"/>
      <c r="C73" s="193"/>
      <c r="D73" s="194" t="s">
        <v>686</v>
      </c>
      <c r="E73" s="70">
        <v>1000000</v>
      </c>
    </row>
    <row r="74" spans="1:5" ht="15.75">
      <c r="A74" s="170"/>
      <c r="B74" s="170">
        <v>92695</v>
      </c>
      <c r="C74" s="170"/>
      <c r="D74" s="171" t="s">
        <v>306</v>
      </c>
      <c r="E74" s="232">
        <f>E77+E75</f>
        <v>93564</v>
      </c>
    </row>
    <row r="75" spans="1:5" ht="15.75">
      <c r="A75" s="170"/>
      <c r="B75" s="170"/>
      <c r="C75" s="193">
        <v>6050</v>
      </c>
      <c r="D75" s="194" t="s">
        <v>482</v>
      </c>
      <c r="E75" s="232">
        <f>E76</f>
        <v>8564</v>
      </c>
    </row>
    <row r="76" spans="1:5" ht="15.75">
      <c r="A76" s="170"/>
      <c r="B76" s="170"/>
      <c r="C76" s="193"/>
      <c r="D76" s="194" t="s">
        <v>687</v>
      </c>
      <c r="E76" s="70">
        <f>6364+2200</f>
        <v>8564</v>
      </c>
    </row>
    <row r="77" spans="1:5" ht="15.75">
      <c r="A77" s="193"/>
      <c r="B77" s="193"/>
      <c r="C77" s="193">
        <v>6060</v>
      </c>
      <c r="D77" s="194" t="s">
        <v>588</v>
      </c>
      <c r="E77" s="70">
        <f>E78</f>
        <v>85000</v>
      </c>
    </row>
    <row r="78" spans="1:5" ht="15.75">
      <c r="A78" s="193"/>
      <c r="B78" s="193"/>
      <c r="C78" s="193"/>
      <c r="D78" s="194" t="s">
        <v>688</v>
      </c>
      <c r="E78" s="70">
        <v>85000</v>
      </c>
    </row>
    <row r="79" spans="1:5" ht="15" customHeight="1">
      <c r="A79" s="762" t="s">
        <v>434</v>
      </c>
      <c r="B79" s="762"/>
      <c r="C79" s="762"/>
      <c r="D79" s="762"/>
      <c r="E79" s="249">
        <f>E69+E62+E52+E43+E39+E32+E14+E8</f>
        <v>15293293</v>
      </c>
    </row>
    <row r="80" ht="15.75">
      <c r="E80" s="250"/>
    </row>
    <row r="81" ht="15.75">
      <c r="E81" s="250"/>
    </row>
    <row r="82" ht="15.75">
      <c r="E82" s="250"/>
    </row>
    <row r="83" ht="15.75">
      <c r="E83" s="250"/>
    </row>
    <row r="84" ht="15.75">
      <c r="E84" s="250"/>
    </row>
    <row r="85" ht="15.75">
      <c r="E85" s="250"/>
    </row>
    <row r="86" ht="15.75">
      <c r="E86" s="250"/>
    </row>
    <row r="87" ht="15.75">
      <c r="E87" s="250"/>
    </row>
    <row r="88" ht="15.75">
      <c r="E88" s="250"/>
    </row>
    <row r="89" ht="15.75">
      <c r="E89" s="250"/>
    </row>
    <row r="90" ht="15.75">
      <c r="E90" s="250"/>
    </row>
    <row r="91" ht="15.75">
      <c r="E91" s="250"/>
    </row>
    <row r="92" ht="15.75">
      <c r="E92" s="250"/>
    </row>
    <row r="93" ht="15.75">
      <c r="E93" s="250"/>
    </row>
    <row r="94" ht="15.75">
      <c r="E94" s="250"/>
    </row>
    <row r="95" ht="15.75">
      <c r="E95" s="250"/>
    </row>
    <row r="96" ht="15.75">
      <c r="E96" s="250"/>
    </row>
    <row r="97" ht="15.75">
      <c r="E97" s="250"/>
    </row>
    <row r="98" ht="15.75">
      <c r="E98" s="250"/>
    </row>
    <row r="99" ht="15.75">
      <c r="E99" s="250"/>
    </row>
    <row r="100" ht="15.75">
      <c r="E100" s="250"/>
    </row>
    <row r="101" ht="15.75">
      <c r="E101" s="250"/>
    </row>
    <row r="102" ht="15.75">
      <c r="E102" s="250"/>
    </row>
    <row r="103" ht="15.75">
      <c r="E103" s="250"/>
    </row>
    <row r="104" ht="15.75">
      <c r="E104" s="250"/>
    </row>
    <row r="105" ht="15.75">
      <c r="E105" s="250"/>
    </row>
    <row r="106" ht="15.75">
      <c r="E106" s="250"/>
    </row>
    <row r="107" ht="15.75">
      <c r="E107" s="250"/>
    </row>
    <row r="108" ht="15.75">
      <c r="E108" s="250"/>
    </row>
    <row r="109" ht="15.75">
      <c r="E109" s="250"/>
    </row>
    <row r="110" ht="15.75">
      <c r="E110" s="250"/>
    </row>
    <row r="111" ht="15.75">
      <c r="E111" s="250"/>
    </row>
    <row r="112" ht="15.75">
      <c r="E112" s="250"/>
    </row>
    <row r="113" ht="15.75">
      <c r="E113" s="250"/>
    </row>
    <row r="114" ht="15.75">
      <c r="E114" s="250"/>
    </row>
    <row r="115" ht="15.75">
      <c r="E115" s="250"/>
    </row>
    <row r="116" ht="15.75">
      <c r="E116" s="250"/>
    </row>
    <row r="117" ht="15.75">
      <c r="E117" s="250"/>
    </row>
    <row r="118" ht="15.75">
      <c r="E118" s="250"/>
    </row>
    <row r="119" ht="15.75">
      <c r="E119" s="250"/>
    </row>
    <row r="120" ht="15.75">
      <c r="E120" s="250"/>
    </row>
    <row r="121" ht="15.75">
      <c r="E121" s="250"/>
    </row>
    <row r="122" ht="15.75">
      <c r="E122" s="250"/>
    </row>
    <row r="123" ht="15.75">
      <c r="E123" s="250"/>
    </row>
    <row r="124" ht="15.75">
      <c r="E124" s="250"/>
    </row>
    <row r="125" ht="15.75">
      <c r="E125" s="250"/>
    </row>
    <row r="126" ht="15.75">
      <c r="E126" s="250"/>
    </row>
    <row r="127" ht="15.75">
      <c r="E127" s="250"/>
    </row>
    <row r="128" ht="15.75">
      <c r="E128" s="250"/>
    </row>
    <row r="129" ht="15.75">
      <c r="E129" s="250"/>
    </row>
    <row r="130" ht="15.75">
      <c r="E130" s="250"/>
    </row>
    <row r="131" ht="15.75">
      <c r="E131" s="250"/>
    </row>
    <row r="132" ht="15.75">
      <c r="E132" s="250"/>
    </row>
    <row r="133" ht="15.75">
      <c r="E133" s="250"/>
    </row>
    <row r="134" ht="15.75">
      <c r="E134" s="250"/>
    </row>
    <row r="135" ht="15.75">
      <c r="E135" s="250"/>
    </row>
    <row r="136" ht="15.75">
      <c r="E136" s="250"/>
    </row>
    <row r="137" ht="15.75">
      <c r="E137" s="250"/>
    </row>
    <row r="138" ht="15.75">
      <c r="E138" s="250"/>
    </row>
    <row r="139" ht="15.75">
      <c r="E139" s="250"/>
    </row>
    <row r="140" ht="15.75">
      <c r="E140" s="250"/>
    </row>
    <row r="141" ht="15.75">
      <c r="E141" s="250"/>
    </row>
    <row r="142" ht="15.75">
      <c r="E142" s="250"/>
    </row>
    <row r="143" ht="15.75">
      <c r="E143" s="250"/>
    </row>
    <row r="144" ht="15.75">
      <c r="E144" s="250"/>
    </row>
    <row r="145" ht="15.75">
      <c r="E145" s="250"/>
    </row>
    <row r="146" ht="15.75">
      <c r="E146" s="250"/>
    </row>
    <row r="147" ht="15.75">
      <c r="E147" s="250"/>
    </row>
    <row r="148" ht="15.75">
      <c r="E148" s="250"/>
    </row>
    <row r="149" ht="15.75">
      <c r="E149" s="250"/>
    </row>
    <row r="150" ht="15.75">
      <c r="E150" s="250"/>
    </row>
    <row r="151" ht="15.75">
      <c r="E151" s="250"/>
    </row>
    <row r="152" ht="15.75">
      <c r="E152" s="250"/>
    </row>
    <row r="153" ht="15.75">
      <c r="E153" s="250"/>
    </row>
    <row r="154" ht="15.75">
      <c r="E154" s="250"/>
    </row>
    <row r="155" ht="15.75">
      <c r="E155" s="250"/>
    </row>
    <row r="156" ht="15.75">
      <c r="E156" s="250"/>
    </row>
    <row r="157" ht="15.75">
      <c r="E157" s="250"/>
    </row>
    <row r="158" ht="15.75">
      <c r="E158" s="250"/>
    </row>
    <row r="159" ht="15.75">
      <c r="E159" s="250"/>
    </row>
    <row r="160" ht="15.75">
      <c r="E160" s="250"/>
    </row>
    <row r="161" ht="15.75">
      <c r="E161" s="250"/>
    </row>
    <row r="162" ht="15.75">
      <c r="E162" s="250"/>
    </row>
    <row r="163" ht="15.75">
      <c r="E163" s="250"/>
    </row>
    <row r="164" ht="15.75">
      <c r="E164" s="250"/>
    </row>
    <row r="165" ht="15.75">
      <c r="E165" s="250"/>
    </row>
    <row r="166" ht="15.75">
      <c r="E166" s="250"/>
    </row>
    <row r="167" ht="15.75">
      <c r="E167" s="250"/>
    </row>
    <row r="168" ht="15.75">
      <c r="E168" s="250"/>
    </row>
    <row r="169" ht="15.75">
      <c r="E169" s="250"/>
    </row>
    <row r="170" ht="15.75">
      <c r="E170" s="250"/>
    </row>
    <row r="171" ht="15.75">
      <c r="E171" s="250"/>
    </row>
    <row r="172" ht="15.75">
      <c r="E172" s="250"/>
    </row>
    <row r="173" ht="15.75">
      <c r="E173" s="250"/>
    </row>
    <row r="174" ht="15.75">
      <c r="E174" s="250"/>
    </row>
    <row r="175" ht="15.75">
      <c r="E175" s="250"/>
    </row>
    <row r="176" ht="15.75">
      <c r="E176" s="250"/>
    </row>
    <row r="177" ht="15.75">
      <c r="E177" s="250"/>
    </row>
    <row r="178" ht="15.75">
      <c r="E178" s="250"/>
    </row>
    <row r="179" ht="15.75">
      <c r="E179" s="250"/>
    </row>
    <row r="180" ht="15.75">
      <c r="E180" s="250"/>
    </row>
    <row r="181" ht="15.75">
      <c r="E181" s="250"/>
    </row>
    <row r="182" ht="15.75">
      <c r="E182" s="250"/>
    </row>
    <row r="183" ht="15.75">
      <c r="E183" s="250"/>
    </row>
    <row r="184" ht="15.75">
      <c r="E184" s="250"/>
    </row>
    <row r="185" ht="15.75">
      <c r="E185" s="250"/>
    </row>
    <row r="186" ht="15.75">
      <c r="E186" s="250"/>
    </row>
    <row r="187" ht="15.75">
      <c r="E187" s="250"/>
    </row>
    <row r="188" ht="15.75">
      <c r="E188" s="250"/>
    </row>
    <row r="189" ht="15.75">
      <c r="E189" s="250"/>
    </row>
    <row r="190" ht="15.75">
      <c r="E190" s="250"/>
    </row>
    <row r="191" ht="15.75">
      <c r="E191" s="250"/>
    </row>
    <row r="192" ht="15.75">
      <c r="E192" s="250"/>
    </row>
    <row r="193" ht="15.75">
      <c r="E193" s="250"/>
    </row>
    <row r="194" ht="15.75">
      <c r="E194" s="250"/>
    </row>
    <row r="195" ht="15.75">
      <c r="E195" s="250"/>
    </row>
    <row r="196" ht="15.75">
      <c r="E196" s="250"/>
    </row>
    <row r="197" ht="15.75">
      <c r="E197" s="250"/>
    </row>
    <row r="198" ht="15.75">
      <c r="E198" s="250"/>
    </row>
    <row r="199" ht="15.75">
      <c r="E199" s="250"/>
    </row>
    <row r="200" ht="15.75">
      <c r="E200" s="250"/>
    </row>
    <row r="201" ht="15.75">
      <c r="E201" s="250"/>
    </row>
    <row r="202" ht="15.75">
      <c r="E202" s="250"/>
    </row>
    <row r="203" ht="15.75">
      <c r="E203" s="250"/>
    </row>
    <row r="204" ht="15.75">
      <c r="E204" s="250"/>
    </row>
    <row r="205" ht="15.75">
      <c r="E205" s="250"/>
    </row>
    <row r="206" ht="15.75">
      <c r="E206" s="250"/>
    </row>
    <row r="207" ht="15.75">
      <c r="E207" s="250"/>
    </row>
  </sheetData>
  <mergeCells count="8">
    <mergeCell ref="A79:D79"/>
    <mergeCell ref="D1:E1"/>
    <mergeCell ref="A3:E3"/>
    <mergeCell ref="A5:A6"/>
    <mergeCell ref="B5:B6"/>
    <mergeCell ref="C5:C6"/>
    <mergeCell ref="D5:D6"/>
    <mergeCell ref="E5:E6"/>
  </mergeCells>
  <printOptions/>
  <pageMargins left="0.7875" right="0.7875" top="0.7875" bottom="0.6486111111111111" header="0.5118055555555556" footer="0.48194444444444445"/>
  <pageSetup horizontalDpi="300" verticalDpi="300" orientation="portrait" paperSize="9" scale="87" r:id="rId1"/>
  <headerFooter alignWithMargins="0">
    <oddFooter>&amp;C&amp;"Times New Roman,Normalny"&amp;12Strona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1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8" customHeight="1"/>
  <cols>
    <col min="1" max="1" width="6.00390625" style="251" customWidth="1"/>
    <col min="2" max="2" width="8.25390625" style="252" customWidth="1"/>
    <col min="3" max="3" width="5.875" style="252" customWidth="1"/>
    <col min="4" max="4" width="70.75390625" style="253" customWidth="1"/>
    <col min="5" max="8" width="12.75390625" style="252" customWidth="1"/>
    <col min="9" max="16384" width="9.00390625" style="252" customWidth="1"/>
  </cols>
  <sheetData>
    <row r="1" spans="1:8" ht="15" customHeight="1">
      <c r="A1" s="763" t="s">
        <v>689</v>
      </c>
      <c r="B1" s="763"/>
      <c r="C1" s="763"/>
      <c r="D1" s="763"/>
      <c r="E1" s="763"/>
      <c r="F1" s="763"/>
      <c r="G1" s="763"/>
      <c r="H1" s="763"/>
    </row>
    <row r="2" spans="1:8" ht="46.5" customHeight="1">
      <c r="A2" s="764" t="s">
        <v>690</v>
      </c>
      <c r="B2" s="764"/>
      <c r="C2" s="764"/>
      <c r="D2" s="764"/>
      <c r="E2" s="764"/>
      <c r="F2" s="764"/>
      <c r="G2" s="764"/>
      <c r="H2" s="764"/>
    </row>
    <row r="3" spans="1:8" ht="18" customHeight="1">
      <c r="A3" s="765" t="s">
        <v>691</v>
      </c>
      <c r="B3" s="765"/>
      <c r="C3" s="765"/>
      <c r="D3" s="765"/>
      <c r="H3" s="254" t="s">
        <v>274</v>
      </c>
    </row>
    <row r="4" spans="1:8" s="256" customFormat="1" ht="16.5" customHeight="1">
      <c r="A4" s="766" t="s">
        <v>275</v>
      </c>
      <c r="B4" s="767" t="s">
        <v>296</v>
      </c>
      <c r="C4" s="767" t="s">
        <v>297</v>
      </c>
      <c r="D4" s="767" t="s">
        <v>298</v>
      </c>
      <c r="E4" s="767" t="s">
        <v>692</v>
      </c>
      <c r="F4" s="767" t="s">
        <v>693</v>
      </c>
      <c r="G4" s="767" t="s">
        <v>694</v>
      </c>
      <c r="H4" s="255"/>
    </row>
    <row r="5" spans="1:8" s="258" customFormat="1" ht="34.5" customHeight="1">
      <c r="A5" s="766"/>
      <c r="B5" s="767"/>
      <c r="C5" s="767"/>
      <c r="D5" s="767"/>
      <c r="E5" s="767"/>
      <c r="F5" s="767"/>
      <c r="G5" s="767"/>
      <c r="H5" s="257" t="s">
        <v>695</v>
      </c>
    </row>
    <row r="6" spans="1:8" s="262" customFormat="1" ht="12.75" customHeight="1">
      <c r="A6" s="259">
        <v>1</v>
      </c>
      <c r="B6" s="260">
        <v>2</v>
      </c>
      <c r="C6" s="260">
        <v>3</v>
      </c>
      <c r="D6" s="260">
        <v>4</v>
      </c>
      <c r="E6" s="260">
        <v>5</v>
      </c>
      <c r="F6" s="261">
        <v>6</v>
      </c>
      <c r="G6" s="261">
        <v>7</v>
      </c>
      <c r="H6" s="261">
        <v>8</v>
      </c>
    </row>
    <row r="7" spans="1:8" ht="18" customHeight="1">
      <c r="A7" s="263" t="s">
        <v>284</v>
      </c>
      <c r="B7" s="263">
        <v>80101</v>
      </c>
      <c r="C7" s="263"/>
      <c r="D7" s="264" t="s">
        <v>400</v>
      </c>
      <c r="E7" s="265">
        <f>SUM(E8:E10)</f>
        <v>8837</v>
      </c>
      <c r="F7" s="265">
        <f>SUM(F8:F10)</f>
        <v>7200</v>
      </c>
      <c r="G7" s="265">
        <f>SUM(G8:G10)</f>
        <v>7600</v>
      </c>
      <c r="H7" s="265">
        <f>SUM(H8:H10)</f>
        <v>23637</v>
      </c>
    </row>
    <row r="8" spans="1:8" ht="48" customHeight="1">
      <c r="A8" s="266"/>
      <c r="B8" s="267"/>
      <c r="C8" s="267" t="s">
        <v>307</v>
      </c>
      <c r="D8" s="268" t="s">
        <v>408</v>
      </c>
      <c r="E8" s="269">
        <v>0</v>
      </c>
      <c r="F8" s="270">
        <v>6700</v>
      </c>
      <c r="G8" s="270">
        <v>7500</v>
      </c>
      <c r="H8" s="270">
        <f>SUM(E8,F8,G8)</f>
        <v>14200</v>
      </c>
    </row>
    <row r="9" spans="1:8" ht="19.5" customHeight="1">
      <c r="A9" s="266"/>
      <c r="B9" s="267"/>
      <c r="C9" s="267" t="s">
        <v>696</v>
      </c>
      <c r="D9" s="268" t="s">
        <v>430</v>
      </c>
      <c r="E9" s="269">
        <v>7837</v>
      </c>
      <c r="F9" s="270">
        <v>500</v>
      </c>
      <c r="G9" s="270">
        <v>50</v>
      </c>
      <c r="H9" s="270">
        <f>SUM(E9:G9)</f>
        <v>8387</v>
      </c>
    </row>
    <row r="10" spans="1:8" ht="19.5" customHeight="1">
      <c r="A10" s="266"/>
      <c r="B10" s="267"/>
      <c r="C10" s="267" t="s">
        <v>697</v>
      </c>
      <c r="D10" s="268" t="s">
        <v>698</v>
      </c>
      <c r="E10" s="269">
        <v>1000</v>
      </c>
      <c r="F10" s="270">
        <v>0</v>
      </c>
      <c r="G10" s="270">
        <v>50</v>
      </c>
      <c r="H10" s="270">
        <v>1050</v>
      </c>
    </row>
    <row r="11" spans="1:8" ht="19.5" customHeight="1">
      <c r="A11" s="271"/>
      <c r="B11" s="271" t="s">
        <v>699</v>
      </c>
      <c r="C11" s="267"/>
      <c r="D11" s="272" t="s">
        <v>410</v>
      </c>
      <c r="E11" s="273">
        <f>SUM(E12)</f>
        <v>123840</v>
      </c>
      <c r="F11" s="265">
        <f>SUM(F12)</f>
        <v>36960</v>
      </c>
      <c r="G11" s="265">
        <f>SUM(G12)</f>
        <v>0</v>
      </c>
      <c r="H11" s="265">
        <f>SUM(H12)</f>
        <v>160800</v>
      </c>
    </row>
    <row r="12" spans="1:8" ht="19.5" customHeight="1">
      <c r="A12" s="271"/>
      <c r="B12" s="271"/>
      <c r="C12" s="267" t="s">
        <v>696</v>
      </c>
      <c r="D12" s="274" t="s">
        <v>430</v>
      </c>
      <c r="E12" s="269">
        <v>123840</v>
      </c>
      <c r="F12" s="270">
        <v>36960</v>
      </c>
      <c r="G12" s="270">
        <v>0</v>
      </c>
      <c r="H12" s="270">
        <f>SUM(E12,F12,G12)</f>
        <v>160800</v>
      </c>
    </row>
    <row r="13" spans="1:8" ht="18" customHeight="1">
      <c r="A13" s="768" t="s">
        <v>434</v>
      </c>
      <c r="B13" s="768"/>
      <c r="C13" s="768"/>
      <c r="D13" s="768"/>
      <c r="E13" s="275">
        <f>E7+E11</f>
        <v>132677</v>
      </c>
      <c r="F13" s="275">
        <f>F7+F11</f>
        <v>44160</v>
      </c>
      <c r="G13" s="275">
        <f>G7+G11</f>
        <v>7600</v>
      </c>
      <c r="H13" s="275">
        <f>H7+H11</f>
        <v>184437</v>
      </c>
    </row>
    <row r="14" ht="18" customHeight="1">
      <c r="E14" s="276"/>
    </row>
    <row r="15" ht="18" customHeight="1">
      <c r="E15" s="276"/>
    </row>
    <row r="16" ht="18" customHeight="1">
      <c r="E16" s="276"/>
    </row>
    <row r="17" ht="18" customHeight="1">
      <c r="E17" s="276"/>
    </row>
    <row r="18" ht="18" customHeight="1">
      <c r="E18" s="276"/>
    </row>
    <row r="19" ht="18" customHeight="1">
      <c r="E19" s="276"/>
    </row>
    <row r="20" ht="18" customHeight="1">
      <c r="E20" s="276"/>
    </row>
    <row r="21" ht="18" customHeight="1">
      <c r="E21" s="276"/>
    </row>
    <row r="22" ht="18" customHeight="1">
      <c r="E22" s="276"/>
    </row>
    <row r="23" ht="18" customHeight="1">
      <c r="E23" s="276"/>
    </row>
    <row r="24" ht="18" customHeight="1">
      <c r="E24" s="276"/>
    </row>
    <row r="25" ht="18" customHeight="1">
      <c r="E25" s="276"/>
    </row>
    <row r="26" ht="18" customHeight="1">
      <c r="E26" s="276"/>
    </row>
    <row r="27" ht="18" customHeight="1">
      <c r="E27" s="276"/>
    </row>
    <row r="28" ht="18" customHeight="1">
      <c r="E28" s="276"/>
    </row>
    <row r="29" ht="18" customHeight="1">
      <c r="E29" s="276"/>
    </row>
    <row r="30" ht="18" customHeight="1">
      <c r="E30" s="276"/>
    </row>
    <row r="31" ht="18" customHeight="1">
      <c r="E31" s="276"/>
    </row>
    <row r="32" ht="18" customHeight="1">
      <c r="E32" s="276"/>
    </row>
    <row r="33" ht="18" customHeight="1">
      <c r="E33" s="276"/>
    </row>
    <row r="34" ht="18" customHeight="1">
      <c r="E34" s="276"/>
    </row>
    <row r="35" ht="18" customHeight="1">
      <c r="E35" s="276"/>
    </row>
    <row r="36" ht="18" customHeight="1">
      <c r="E36" s="276"/>
    </row>
    <row r="37" ht="18" customHeight="1">
      <c r="E37" s="276"/>
    </row>
    <row r="38" ht="18" customHeight="1">
      <c r="E38" s="276"/>
    </row>
    <row r="39" ht="18" customHeight="1">
      <c r="E39" s="276"/>
    </row>
    <row r="40" ht="18" customHeight="1">
      <c r="E40" s="276"/>
    </row>
    <row r="41" ht="18" customHeight="1">
      <c r="E41" s="276"/>
    </row>
    <row r="42" ht="18" customHeight="1">
      <c r="E42" s="276"/>
    </row>
    <row r="43" ht="18" customHeight="1">
      <c r="E43" s="276"/>
    </row>
    <row r="44" ht="18" customHeight="1">
      <c r="E44" s="276"/>
    </row>
    <row r="45" ht="18" customHeight="1">
      <c r="E45" s="276"/>
    </row>
    <row r="46" ht="18" customHeight="1">
      <c r="E46" s="276"/>
    </row>
    <row r="47" ht="18" customHeight="1">
      <c r="E47" s="276"/>
    </row>
    <row r="48" ht="18" customHeight="1">
      <c r="E48" s="276"/>
    </row>
    <row r="49" ht="18" customHeight="1">
      <c r="E49" s="276"/>
    </row>
    <row r="50" ht="18" customHeight="1">
      <c r="E50" s="276"/>
    </row>
    <row r="51" ht="18" customHeight="1">
      <c r="E51" s="276"/>
    </row>
    <row r="52" ht="18" customHeight="1">
      <c r="E52" s="276"/>
    </row>
    <row r="53" ht="18" customHeight="1">
      <c r="E53" s="276"/>
    </row>
    <row r="54" ht="18" customHeight="1">
      <c r="E54" s="276"/>
    </row>
    <row r="55" ht="18" customHeight="1">
      <c r="E55" s="276"/>
    </row>
    <row r="56" ht="18" customHeight="1">
      <c r="E56" s="276"/>
    </row>
    <row r="57" ht="18" customHeight="1">
      <c r="E57" s="276"/>
    </row>
    <row r="58" ht="18" customHeight="1">
      <c r="E58" s="276"/>
    </row>
    <row r="59" ht="18" customHeight="1">
      <c r="E59" s="276"/>
    </row>
    <row r="60" ht="18" customHeight="1">
      <c r="E60" s="276"/>
    </row>
    <row r="61" ht="18" customHeight="1">
      <c r="E61" s="276"/>
    </row>
    <row r="62" ht="18" customHeight="1">
      <c r="E62" s="276"/>
    </row>
    <row r="63" ht="18" customHeight="1">
      <c r="E63" s="276"/>
    </row>
    <row r="64" ht="18" customHeight="1">
      <c r="E64" s="276"/>
    </row>
    <row r="65" ht="18" customHeight="1">
      <c r="E65" s="276"/>
    </row>
    <row r="66" ht="18" customHeight="1">
      <c r="E66" s="276"/>
    </row>
    <row r="67" ht="18" customHeight="1">
      <c r="E67" s="276"/>
    </row>
    <row r="68" ht="18" customHeight="1">
      <c r="E68" s="276"/>
    </row>
    <row r="69" ht="18" customHeight="1">
      <c r="E69" s="276"/>
    </row>
    <row r="70" ht="18" customHeight="1">
      <c r="E70" s="276"/>
    </row>
    <row r="71" ht="18" customHeight="1">
      <c r="E71" s="276"/>
    </row>
    <row r="72" ht="18" customHeight="1">
      <c r="E72" s="276"/>
    </row>
    <row r="73" ht="18" customHeight="1">
      <c r="E73" s="276"/>
    </row>
    <row r="74" ht="18" customHeight="1">
      <c r="E74" s="276"/>
    </row>
    <row r="75" ht="18" customHeight="1">
      <c r="E75" s="276"/>
    </row>
    <row r="76" ht="18" customHeight="1">
      <c r="E76" s="276"/>
    </row>
    <row r="77" ht="18" customHeight="1">
      <c r="E77" s="276"/>
    </row>
    <row r="78" ht="18" customHeight="1">
      <c r="E78" s="276"/>
    </row>
    <row r="79" ht="18" customHeight="1">
      <c r="E79" s="276"/>
    </row>
    <row r="80" ht="18" customHeight="1">
      <c r="E80" s="276"/>
    </row>
    <row r="81" ht="18" customHeight="1">
      <c r="E81" s="276"/>
    </row>
    <row r="82" ht="18" customHeight="1">
      <c r="E82" s="276"/>
    </row>
    <row r="83" ht="18" customHeight="1">
      <c r="E83" s="276"/>
    </row>
    <row r="84" ht="18" customHeight="1">
      <c r="E84" s="276"/>
    </row>
    <row r="85" ht="18" customHeight="1">
      <c r="E85" s="276"/>
    </row>
    <row r="86" ht="18" customHeight="1">
      <c r="E86" s="276"/>
    </row>
    <row r="87" ht="18" customHeight="1">
      <c r="E87" s="276"/>
    </row>
    <row r="88" ht="18" customHeight="1">
      <c r="E88" s="276"/>
    </row>
    <row r="89" ht="18" customHeight="1">
      <c r="E89" s="276"/>
    </row>
    <row r="90" ht="18" customHeight="1">
      <c r="E90" s="276"/>
    </row>
    <row r="91" ht="18" customHeight="1">
      <c r="E91" s="276"/>
    </row>
    <row r="92" ht="18" customHeight="1">
      <c r="E92" s="276"/>
    </row>
    <row r="93" ht="18" customHeight="1">
      <c r="E93" s="276"/>
    </row>
    <row r="94" ht="18" customHeight="1">
      <c r="E94" s="276"/>
    </row>
    <row r="95" ht="18" customHeight="1">
      <c r="E95" s="276"/>
    </row>
    <row r="96" ht="18" customHeight="1">
      <c r="E96" s="276"/>
    </row>
    <row r="97" ht="18" customHeight="1">
      <c r="E97" s="276"/>
    </row>
    <row r="98" ht="18" customHeight="1">
      <c r="E98" s="276"/>
    </row>
    <row r="99" ht="18" customHeight="1">
      <c r="E99" s="276"/>
    </row>
    <row r="100" ht="18" customHeight="1">
      <c r="E100" s="276"/>
    </row>
    <row r="101" ht="18" customHeight="1">
      <c r="E101" s="276"/>
    </row>
    <row r="102" ht="18" customHeight="1">
      <c r="E102" s="276"/>
    </row>
    <row r="103" ht="18" customHeight="1">
      <c r="E103" s="276"/>
    </row>
    <row r="104" ht="18" customHeight="1">
      <c r="E104" s="276"/>
    </row>
    <row r="105" ht="18" customHeight="1">
      <c r="E105" s="276"/>
    </row>
    <row r="106" ht="18" customHeight="1">
      <c r="E106" s="276"/>
    </row>
    <row r="107" ht="18" customHeight="1">
      <c r="E107" s="276"/>
    </row>
    <row r="108" ht="18" customHeight="1">
      <c r="E108" s="276"/>
    </row>
    <row r="109" ht="18" customHeight="1">
      <c r="E109" s="276"/>
    </row>
    <row r="110" ht="18" customHeight="1">
      <c r="E110" s="276"/>
    </row>
    <row r="111" ht="18" customHeight="1">
      <c r="E111" s="276"/>
    </row>
    <row r="112" ht="18" customHeight="1">
      <c r="E112" s="276"/>
    </row>
    <row r="113" ht="18" customHeight="1">
      <c r="E113" s="276"/>
    </row>
    <row r="114" ht="18" customHeight="1">
      <c r="E114" s="276"/>
    </row>
    <row r="115" ht="18" customHeight="1">
      <c r="E115" s="276"/>
    </row>
    <row r="116" ht="18" customHeight="1">
      <c r="E116" s="276"/>
    </row>
    <row r="117" ht="18" customHeight="1">
      <c r="E117" s="276"/>
    </row>
    <row r="118" ht="18" customHeight="1">
      <c r="E118" s="276"/>
    </row>
    <row r="119" ht="18" customHeight="1">
      <c r="E119" s="276"/>
    </row>
    <row r="120" ht="18" customHeight="1">
      <c r="E120" s="276"/>
    </row>
    <row r="121" ht="18" customHeight="1">
      <c r="E121" s="276"/>
    </row>
    <row r="122" ht="18" customHeight="1">
      <c r="E122" s="276"/>
    </row>
    <row r="123" ht="18" customHeight="1">
      <c r="E123" s="276"/>
    </row>
    <row r="124" ht="18" customHeight="1">
      <c r="E124" s="276"/>
    </row>
    <row r="125" ht="18" customHeight="1">
      <c r="E125" s="276"/>
    </row>
    <row r="126" ht="18" customHeight="1">
      <c r="E126" s="276"/>
    </row>
    <row r="127" ht="18" customHeight="1">
      <c r="E127" s="276"/>
    </row>
    <row r="128" ht="18" customHeight="1">
      <c r="E128" s="276"/>
    </row>
    <row r="129" ht="18" customHeight="1">
      <c r="E129" s="276"/>
    </row>
    <row r="130" ht="18" customHeight="1">
      <c r="E130" s="276"/>
    </row>
    <row r="131" ht="18" customHeight="1">
      <c r="E131" s="276"/>
    </row>
    <row r="132" ht="18" customHeight="1">
      <c r="E132" s="276"/>
    </row>
    <row r="133" ht="18" customHeight="1">
      <c r="E133" s="276"/>
    </row>
    <row r="134" ht="18" customHeight="1">
      <c r="E134" s="276"/>
    </row>
    <row r="135" ht="18" customHeight="1">
      <c r="E135" s="276"/>
    </row>
    <row r="136" ht="18" customHeight="1">
      <c r="E136" s="276"/>
    </row>
    <row r="137" ht="18" customHeight="1">
      <c r="E137" s="276"/>
    </row>
    <row r="138" ht="18" customHeight="1">
      <c r="E138" s="276"/>
    </row>
    <row r="139" ht="18" customHeight="1">
      <c r="E139" s="276"/>
    </row>
    <row r="140" ht="18" customHeight="1">
      <c r="E140" s="276"/>
    </row>
    <row r="141" ht="18" customHeight="1">
      <c r="E141" s="276"/>
    </row>
  </sheetData>
  <mergeCells count="11">
    <mergeCell ref="A13:D13"/>
    <mergeCell ref="A1:H1"/>
    <mergeCell ref="A2:H2"/>
    <mergeCell ref="A3:D3"/>
    <mergeCell ref="A4:A5"/>
    <mergeCell ref="B4:B5"/>
    <mergeCell ref="C4:C5"/>
    <mergeCell ref="D4:D5"/>
    <mergeCell ref="E4:E5"/>
    <mergeCell ref="F4:F5"/>
    <mergeCell ref="G4:G5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96" r:id="rId1"/>
  <headerFooter alignWithMargins="0">
    <oddFooter>&amp;C&amp;"Times New Roman,Normalny"&amp;12Strona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1"/>
  <sheetViews>
    <sheetView showGridLines="0" defaultGridColor="0" view="pageBreakPreview" zoomScale="90" zoomScaleSheetLayoutView="90" colorId="15" workbookViewId="0" topLeftCell="A1">
      <selection activeCell="K8" sqref="K8"/>
    </sheetView>
  </sheetViews>
  <sheetFormatPr defaultColWidth="9.00390625" defaultRowHeight="18" customHeight="1"/>
  <cols>
    <col min="1" max="1" width="6.00390625" style="251" customWidth="1"/>
    <col min="2" max="2" width="8.25390625" style="252" customWidth="1"/>
    <col min="3" max="3" width="5.875" style="252" customWidth="1"/>
    <col min="4" max="4" width="70.75390625" style="253" customWidth="1"/>
    <col min="5" max="7" width="12.75390625" style="252" customWidth="1"/>
    <col min="8" max="16384" width="9.00390625" style="252" customWidth="1"/>
  </cols>
  <sheetData>
    <row r="1" spans="1:7" ht="15" customHeight="1">
      <c r="A1" s="763" t="s">
        <v>700</v>
      </c>
      <c r="B1" s="763"/>
      <c r="C1" s="763"/>
      <c r="D1" s="763"/>
      <c r="E1" s="763"/>
      <c r="F1" s="763"/>
      <c r="G1" s="763"/>
    </row>
    <row r="2" spans="1:7" ht="46.5" customHeight="1">
      <c r="A2" s="764" t="s">
        <v>690</v>
      </c>
      <c r="B2" s="764"/>
      <c r="C2" s="764"/>
      <c r="D2" s="764"/>
      <c r="E2" s="764"/>
      <c r="F2" s="764"/>
      <c r="G2" s="764"/>
    </row>
    <row r="3" spans="1:7" ht="18" customHeight="1">
      <c r="A3" s="765" t="s">
        <v>701</v>
      </c>
      <c r="B3" s="765"/>
      <c r="C3" s="765"/>
      <c r="D3" s="765"/>
      <c r="G3" s="277" t="s">
        <v>274</v>
      </c>
    </row>
    <row r="4" spans="1:7" s="256" customFormat="1" ht="16.5" customHeight="1">
      <c r="A4" s="766" t="s">
        <v>275</v>
      </c>
      <c r="B4" s="767" t="s">
        <v>296</v>
      </c>
      <c r="C4" s="767" t="s">
        <v>297</v>
      </c>
      <c r="D4" s="767" t="s">
        <v>298</v>
      </c>
      <c r="E4" s="767" t="s">
        <v>702</v>
      </c>
      <c r="F4" s="767" t="s">
        <v>703</v>
      </c>
      <c r="G4" s="767" t="s">
        <v>695</v>
      </c>
    </row>
    <row r="5" spans="1:7" s="258" customFormat="1" ht="34.5" customHeight="1">
      <c r="A5" s="766"/>
      <c r="B5" s="767"/>
      <c r="C5" s="767"/>
      <c r="D5" s="767"/>
      <c r="E5" s="767"/>
      <c r="F5" s="767"/>
      <c r="G5" s="767"/>
    </row>
    <row r="6" spans="1:7" s="262" customFormat="1" ht="12.75" customHeight="1">
      <c r="A6" s="259">
        <v>1</v>
      </c>
      <c r="B6" s="260">
        <v>2</v>
      </c>
      <c r="C6" s="260">
        <v>3</v>
      </c>
      <c r="D6" s="260">
        <v>4</v>
      </c>
      <c r="E6" s="260">
        <v>5</v>
      </c>
      <c r="F6" s="260">
        <v>6</v>
      </c>
      <c r="G6" s="260">
        <v>7</v>
      </c>
    </row>
    <row r="7" spans="1:7" ht="18" customHeight="1">
      <c r="A7" s="263" t="s">
        <v>284</v>
      </c>
      <c r="B7" s="263" t="s">
        <v>404</v>
      </c>
      <c r="C7" s="263"/>
      <c r="D7" s="264" t="s">
        <v>405</v>
      </c>
      <c r="E7" s="278">
        <f>SUM(E8:E10)</f>
        <v>431810</v>
      </c>
      <c r="F7" s="278">
        <f>SUM(F8:F10)</f>
        <v>450796</v>
      </c>
      <c r="G7" s="278">
        <f>SUM(G8:G10)</f>
        <v>882606</v>
      </c>
    </row>
    <row r="8" spans="1:7" ht="48" customHeight="1">
      <c r="A8" s="267"/>
      <c r="B8" s="267"/>
      <c r="C8" s="267" t="s">
        <v>307</v>
      </c>
      <c r="D8" s="268" t="s">
        <v>408</v>
      </c>
      <c r="E8" s="269">
        <v>0</v>
      </c>
      <c r="F8" s="269">
        <v>9996</v>
      </c>
      <c r="G8" s="269">
        <f>SUM(F8)</f>
        <v>9996</v>
      </c>
    </row>
    <row r="9" spans="1:7" ht="18" customHeight="1">
      <c r="A9" s="267"/>
      <c r="B9" s="267"/>
      <c r="C9" s="267" t="s">
        <v>336</v>
      </c>
      <c r="D9" s="268" t="s">
        <v>337</v>
      </c>
      <c r="E9" s="269">
        <v>429310</v>
      </c>
      <c r="F9" s="269">
        <v>439300</v>
      </c>
      <c r="G9" s="279">
        <f>SUM(F9,E9)</f>
        <v>868610</v>
      </c>
    </row>
    <row r="10" spans="1:7" ht="18" customHeight="1">
      <c r="A10" s="267"/>
      <c r="B10" s="267"/>
      <c r="C10" s="267" t="s">
        <v>324</v>
      </c>
      <c r="D10" s="268" t="s">
        <v>325</v>
      </c>
      <c r="E10" s="269">
        <v>2500</v>
      </c>
      <c r="F10" s="269">
        <v>1500</v>
      </c>
      <c r="G10" s="280">
        <f>SUM(F10,E10)</f>
        <v>4000</v>
      </c>
    </row>
    <row r="11" spans="1:7" ht="18" customHeight="1">
      <c r="A11" s="267"/>
      <c r="B11" s="271" t="s">
        <v>699</v>
      </c>
      <c r="C11" s="267"/>
      <c r="D11" s="272" t="s">
        <v>410</v>
      </c>
      <c r="E11" s="273">
        <v>0</v>
      </c>
      <c r="F11" s="273">
        <f>SUM(F12)</f>
        <v>194880</v>
      </c>
      <c r="G11" s="281">
        <f>SUM(F11)</f>
        <v>194880</v>
      </c>
    </row>
    <row r="12" spans="1:7" ht="18" customHeight="1">
      <c r="A12" s="267"/>
      <c r="B12" s="271"/>
      <c r="C12" s="267" t="s">
        <v>696</v>
      </c>
      <c r="D12" s="274" t="s">
        <v>337</v>
      </c>
      <c r="E12" s="279">
        <v>0</v>
      </c>
      <c r="F12" s="279">
        <v>194880</v>
      </c>
      <c r="G12" s="280">
        <f>SUM(F12)</f>
        <v>194880</v>
      </c>
    </row>
    <row r="13" spans="1:7" ht="18" customHeight="1">
      <c r="A13" s="768" t="s">
        <v>434</v>
      </c>
      <c r="B13" s="768"/>
      <c r="C13" s="768"/>
      <c r="D13" s="768"/>
      <c r="E13" s="275">
        <f>E7+E11</f>
        <v>431810</v>
      </c>
      <c r="F13" s="275">
        <f>F7+F11</f>
        <v>645676</v>
      </c>
      <c r="G13" s="275">
        <f>G7+G11</f>
        <v>1077486</v>
      </c>
    </row>
    <row r="14" spans="5:7" ht="18" customHeight="1">
      <c r="E14" s="276"/>
      <c r="F14" s="276"/>
      <c r="G14" s="282"/>
    </row>
    <row r="15" spans="5:7" ht="18" customHeight="1">
      <c r="E15" s="276"/>
      <c r="F15" s="276"/>
      <c r="G15" s="282"/>
    </row>
    <row r="16" spans="5:7" ht="18" customHeight="1">
      <c r="E16" s="276"/>
      <c r="F16" s="276"/>
      <c r="G16" s="282"/>
    </row>
    <row r="17" spans="5:7" ht="18" customHeight="1">
      <c r="E17" s="276"/>
      <c r="F17" s="276"/>
      <c r="G17" s="282"/>
    </row>
    <row r="18" spans="5:7" ht="18" customHeight="1">
      <c r="E18" s="276"/>
      <c r="F18" s="276"/>
      <c r="G18" s="282"/>
    </row>
    <row r="19" spans="5:7" ht="18" customHeight="1">
      <c r="E19" s="276"/>
      <c r="F19" s="276"/>
      <c r="G19" s="282"/>
    </row>
    <row r="20" spans="5:7" ht="18" customHeight="1">
      <c r="E20" s="276"/>
      <c r="F20" s="276"/>
      <c r="G20" s="282"/>
    </row>
    <row r="21" spans="5:7" ht="18" customHeight="1">
      <c r="E21" s="276"/>
      <c r="F21" s="276"/>
      <c r="G21" s="282"/>
    </row>
    <row r="22" spans="5:7" ht="18" customHeight="1">
      <c r="E22" s="276"/>
      <c r="F22" s="276"/>
      <c r="G22" s="282"/>
    </row>
    <row r="23" spans="5:7" ht="18" customHeight="1">
      <c r="E23" s="276"/>
      <c r="F23" s="276"/>
      <c r="G23" s="282"/>
    </row>
    <row r="24" spans="5:7" ht="18" customHeight="1">
      <c r="E24" s="276"/>
      <c r="F24" s="276"/>
      <c r="G24" s="282"/>
    </row>
    <row r="25" spans="5:7" ht="18" customHeight="1">
      <c r="E25" s="276"/>
      <c r="F25" s="276"/>
      <c r="G25" s="282"/>
    </row>
    <row r="26" spans="5:7" ht="18" customHeight="1">
      <c r="E26" s="276"/>
      <c r="F26" s="276"/>
      <c r="G26" s="282"/>
    </row>
    <row r="27" spans="5:7" ht="18" customHeight="1">
      <c r="E27" s="276"/>
      <c r="F27" s="276"/>
      <c r="G27" s="282"/>
    </row>
    <row r="28" spans="5:7" ht="18" customHeight="1">
      <c r="E28" s="276"/>
      <c r="F28" s="276"/>
      <c r="G28" s="282"/>
    </row>
    <row r="29" spans="5:7" ht="18" customHeight="1">
      <c r="E29" s="276"/>
      <c r="F29" s="276"/>
      <c r="G29" s="282"/>
    </row>
    <row r="30" spans="5:7" ht="18" customHeight="1">
      <c r="E30" s="276"/>
      <c r="F30" s="276"/>
      <c r="G30" s="282"/>
    </row>
    <row r="31" spans="5:7" ht="18" customHeight="1">
      <c r="E31" s="276"/>
      <c r="F31" s="276"/>
      <c r="G31" s="282"/>
    </row>
    <row r="32" spans="5:7" ht="18" customHeight="1">
      <c r="E32" s="276"/>
      <c r="F32" s="276"/>
      <c r="G32" s="282"/>
    </row>
    <row r="33" spans="5:7" ht="18" customHeight="1">
      <c r="E33" s="276"/>
      <c r="F33" s="276"/>
      <c r="G33" s="282"/>
    </row>
    <row r="34" spans="5:7" ht="18" customHeight="1">
      <c r="E34" s="276"/>
      <c r="F34" s="276"/>
      <c r="G34" s="282"/>
    </row>
    <row r="35" spans="5:7" ht="18" customHeight="1">
      <c r="E35" s="276"/>
      <c r="F35" s="276"/>
      <c r="G35" s="282"/>
    </row>
    <row r="36" spans="5:7" ht="18" customHeight="1">
      <c r="E36" s="276"/>
      <c r="F36" s="276"/>
      <c r="G36" s="282"/>
    </row>
    <row r="37" spans="5:7" ht="18" customHeight="1">
      <c r="E37" s="276"/>
      <c r="F37" s="276"/>
      <c r="G37" s="282"/>
    </row>
    <row r="38" spans="5:7" ht="18" customHeight="1">
      <c r="E38" s="276"/>
      <c r="F38" s="276"/>
      <c r="G38" s="282"/>
    </row>
    <row r="39" spans="5:7" ht="18" customHeight="1">
      <c r="E39" s="276"/>
      <c r="F39" s="276"/>
      <c r="G39" s="282"/>
    </row>
    <row r="40" spans="5:7" ht="18" customHeight="1">
      <c r="E40" s="276"/>
      <c r="F40" s="276"/>
      <c r="G40" s="282"/>
    </row>
    <row r="41" spans="5:7" ht="18" customHeight="1">
      <c r="E41" s="276"/>
      <c r="F41" s="276"/>
      <c r="G41" s="282"/>
    </row>
    <row r="42" spans="5:7" ht="18" customHeight="1">
      <c r="E42" s="276"/>
      <c r="F42" s="276"/>
      <c r="G42" s="282"/>
    </row>
    <row r="43" spans="5:7" ht="18" customHeight="1">
      <c r="E43" s="276"/>
      <c r="F43" s="276"/>
      <c r="G43" s="282"/>
    </row>
    <row r="44" spans="5:7" ht="18" customHeight="1">
      <c r="E44" s="276"/>
      <c r="F44" s="276"/>
      <c r="G44" s="282"/>
    </row>
    <row r="45" spans="5:7" ht="18" customHeight="1">
      <c r="E45" s="276"/>
      <c r="F45" s="276"/>
      <c r="G45" s="282"/>
    </row>
    <row r="46" spans="5:7" ht="18" customHeight="1">
      <c r="E46" s="276"/>
      <c r="F46" s="276"/>
      <c r="G46" s="282"/>
    </row>
    <row r="47" spans="5:7" ht="18" customHeight="1">
      <c r="E47" s="276"/>
      <c r="F47" s="276"/>
      <c r="G47" s="282"/>
    </row>
    <row r="48" spans="5:7" ht="18" customHeight="1">
      <c r="E48" s="276"/>
      <c r="F48" s="276"/>
      <c r="G48" s="282"/>
    </row>
    <row r="49" spans="5:7" ht="18" customHeight="1">
      <c r="E49" s="276"/>
      <c r="F49" s="276"/>
      <c r="G49" s="282"/>
    </row>
    <row r="50" spans="5:7" ht="18" customHeight="1">
      <c r="E50" s="276"/>
      <c r="F50" s="276"/>
      <c r="G50" s="282"/>
    </row>
    <row r="51" spans="5:7" ht="18" customHeight="1">
      <c r="E51" s="276"/>
      <c r="F51" s="276"/>
      <c r="G51" s="282"/>
    </row>
    <row r="52" spans="5:7" ht="18" customHeight="1">
      <c r="E52" s="276"/>
      <c r="F52" s="276"/>
      <c r="G52" s="282"/>
    </row>
    <row r="53" spans="5:7" ht="18" customHeight="1">
      <c r="E53" s="276"/>
      <c r="F53" s="276"/>
      <c r="G53" s="282"/>
    </row>
    <row r="54" spans="5:7" ht="18" customHeight="1">
      <c r="E54" s="276"/>
      <c r="F54" s="276"/>
      <c r="G54" s="282"/>
    </row>
    <row r="55" spans="5:7" ht="18" customHeight="1">
      <c r="E55" s="276"/>
      <c r="F55" s="276"/>
      <c r="G55" s="282"/>
    </row>
    <row r="56" spans="5:7" ht="18" customHeight="1">
      <c r="E56" s="276"/>
      <c r="F56" s="276"/>
      <c r="G56" s="282"/>
    </row>
    <row r="57" spans="5:7" ht="18" customHeight="1">
      <c r="E57" s="276"/>
      <c r="F57" s="276"/>
      <c r="G57" s="282"/>
    </row>
    <row r="58" spans="5:7" ht="18" customHeight="1">
      <c r="E58" s="276"/>
      <c r="F58" s="276"/>
      <c r="G58" s="282"/>
    </row>
    <row r="59" spans="5:7" ht="18" customHeight="1">
      <c r="E59" s="276"/>
      <c r="F59" s="276"/>
      <c r="G59" s="282"/>
    </row>
    <row r="60" spans="5:7" ht="18" customHeight="1">
      <c r="E60" s="276"/>
      <c r="F60" s="276"/>
      <c r="G60" s="282"/>
    </row>
    <row r="61" spans="5:7" ht="18" customHeight="1">
      <c r="E61" s="276"/>
      <c r="F61" s="276"/>
      <c r="G61" s="282"/>
    </row>
    <row r="62" spans="5:7" ht="18" customHeight="1">
      <c r="E62" s="276"/>
      <c r="F62" s="276"/>
      <c r="G62" s="282"/>
    </row>
    <row r="63" spans="5:7" ht="18" customHeight="1">
      <c r="E63" s="276"/>
      <c r="F63" s="276"/>
      <c r="G63" s="282"/>
    </row>
    <row r="64" spans="5:7" ht="18" customHeight="1">
      <c r="E64" s="276"/>
      <c r="F64" s="276"/>
      <c r="G64" s="282"/>
    </row>
    <row r="65" spans="5:7" ht="18" customHeight="1">
      <c r="E65" s="276"/>
      <c r="F65" s="276"/>
      <c r="G65" s="282"/>
    </row>
    <row r="66" spans="5:7" ht="18" customHeight="1">
      <c r="E66" s="276"/>
      <c r="F66" s="276"/>
      <c r="G66" s="282"/>
    </row>
    <row r="67" spans="5:7" ht="18" customHeight="1">
      <c r="E67" s="276"/>
      <c r="F67" s="276"/>
      <c r="G67" s="282"/>
    </row>
    <row r="68" spans="5:7" ht="18" customHeight="1">
      <c r="E68" s="276"/>
      <c r="F68" s="276"/>
      <c r="G68" s="282"/>
    </row>
    <row r="69" spans="5:7" ht="18" customHeight="1">
      <c r="E69" s="276"/>
      <c r="F69" s="276"/>
      <c r="G69" s="282"/>
    </row>
    <row r="70" spans="5:7" ht="18" customHeight="1">
      <c r="E70" s="276"/>
      <c r="F70" s="276"/>
      <c r="G70" s="282"/>
    </row>
    <row r="71" spans="5:7" ht="18" customHeight="1">
      <c r="E71" s="276"/>
      <c r="F71" s="276"/>
      <c r="G71" s="282"/>
    </row>
    <row r="72" spans="5:7" ht="18" customHeight="1">
      <c r="E72" s="276"/>
      <c r="F72" s="276"/>
      <c r="G72" s="282"/>
    </row>
    <row r="73" spans="5:7" ht="18" customHeight="1">
      <c r="E73" s="276"/>
      <c r="F73" s="276"/>
      <c r="G73" s="282"/>
    </row>
    <row r="74" spans="5:7" ht="18" customHeight="1">
      <c r="E74" s="276"/>
      <c r="F74" s="276"/>
      <c r="G74" s="282"/>
    </row>
    <row r="75" spans="5:7" ht="18" customHeight="1">
      <c r="E75" s="276"/>
      <c r="F75" s="276"/>
      <c r="G75" s="282"/>
    </row>
    <row r="76" spans="5:7" ht="18" customHeight="1">
      <c r="E76" s="276"/>
      <c r="F76" s="276"/>
      <c r="G76" s="282"/>
    </row>
    <row r="77" spans="5:7" ht="18" customHeight="1">
      <c r="E77" s="276"/>
      <c r="F77" s="276"/>
      <c r="G77" s="282"/>
    </row>
    <row r="78" spans="5:7" ht="18" customHeight="1">
      <c r="E78" s="276"/>
      <c r="F78" s="276"/>
      <c r="G78" s="282"/>
    </row>
    <row r="79" spans="5:7" ht="18" customHeight="1">
      <c r="E79" s="276"/>
      <c r="F79" s="276"/>
      <c r="G79" s="282"/>
    </row>
    <row r="80" spans="5:7" ht="18" customHeight="1">
      <c r="E80" s="276"/>
      <c r="F80" s="276"/>
      <c r="G80" s="282"/>
    </row>
    <row r="81" spans="5:7" ht="18" customHeight="1">
      <c r="E81" s="276"/>
      <c r="F81" s="276"/>
      <c r="G81" s="282"/>
    </row>
    <row r="82" spans="5:7" ht="18" customHeight="1">
      <c r="E82" s="276"/>
      <c r="F82" s="276"/>
      <c r="G82" s="282"/>
    </row>
    <row r="83" spans="5:7" ht="18" customHeight="1">
      <c r="E83" s="276"/>
      <c r="F83" s="276"/>
      <c r="G83" s="282"/>
    </row>
    <row r="84" spans="5:7" ht="18" customHeight="1">
      <c r="E84" s="276"/>
      <c r="F84" s="276"/>
      <c r="G84" s="282"/>
    </row>
    <row r="85" spans="5:7" ht="18" customHeight="1">
      <c r="E85" s="276"/>
      <c r="F85" s="276"/>
      <c r="G85" s="282"/>
    </row>
    <row r="86" spans="5:7" ht="18" customHeight="1">
      <c r="E86" s="276"/>
      <c r="F86" s="276"/>
      <c r="G86" s="282"/>
    </row>
    <row r="87" spans="5:7" ht="18" customHeight="1">
      <c r="E87" s="276"/>
      <c r="F87" s="276"/>
      <c r="G87" s="282"/>
    </row>
    <row r="88" spans="5:7" ht="18" customHeight="1">
      <c r="E88" s="276"/>
      <c r="F88" s="276"/>
      <c r="G88" s="282"/>
    </row>
    <row r="89" spans="5:7" ht="18" customHeight="1">
      <c r="E89" s="276"/>
      <c r="F89" s="276"/>
      <c r="G89" s="282"/>
    </row>
    <row r="90" spans="5:7" ht="18" customHeight="1">
      <c r="E90" s="276"/>
      <c r="F90" s="276"/>
      <c r="G90" s="282"/>
    </row>
    <row r="91" spans="5:7" ht="18" customHeight="1">
      <c r="E91" s="276"/>
      <c r="F91" s="276"/>
      <c r="G91" s="282"/>
    </row>
    <row r="92" spans="5:7" ht="18" customHeight="1">
      <c r="E92" s="276"/>
      <c r="F92" s="276"/>
      <c r="G92" s="282"/>
    </row>
    <row r="93" spans="5:7" ht="18" customHeight="1">
      <c r="E93" s="276"/>
      <c r="F93" s="276"/>
      <c r="G93" s="282"/>
    </row>
    <row r="94" spans="5:7" ht="18" customHeight="1">
      <c r="E94" s="276"/>
      <c r="F94" s="276"/>
      <c r="G94" s="282"/>
    </row>
    <row r="95" spans="5:7" ht="18" customHeight="1">
      <c r="E95" s="276"/>
      <c r="F95" s="276"/>
      <c r="G95" s="282"/>
    </row>
    <row r="96" spans="5:7" ht="18" customHeight="1">
      <c r="E96" s="276"/>
      <c r="F96" s="276"/>
      <c r="G96" s="282"/>
    </row>
    <row r="97" spans="5:7" ht="18" customHeight="1">
      <c r="E97" s="276"/>
      <c r="F97" s="276"/>
      <c r="G97" s="282"/>
    </row>
    <row r="98" spans="5:7" ht="18" customHeight="1">
      <c r="E98" s="276"/>
      <c r="F98" s="276"/>
      <c r="G98" s="282"/>
    </row>
    <row r="99" spans="5:7" ht="18" customHeight="1">
      <c r="E99" s="276"/>
      <c r="F99" s="276"/>
      <c r="G99" s="282"/>
    </row>
    <row r="100" spans="5:7" ht="18" customHeight="1">
      <c r="E100" s="276"/>
      <c r="F100" s="276"/>
      <c r="G100" s="282"/>
    </row>
    <row r="101" spans="5:7" ht="18" customHeight="1">
      <c r="E101" s="276"/>
      <c r="F101" s="276"/>
      <c r="G101" s="282"/>
    </row>
    <row r="102" spans="5:7" ht="18" customHeight="1">
      <c r="E102" s="276"/>
      <c r="F102" s="276"/>
      <c r="G102" s="282"/>
    </row>
    <row r="103" spans="5:7" ht="18" customHeight="1">
      <c r="E103" s="276"/>
      <c r="F103" s="276"/>
      <c r="G103" s="282"/>
    </row>
    <row r="104" spans="5:7" ht="18" customHeight="1">
      <c r="E104" s="276"/>
      <c r="F104" s="276"/>
      <c r="G104" s="282"/>
    </row>
    <row r="105" spans="5:7" ht="18" customHeight="1">
      <c r="E105" s="276"/>
      <c r="F105" s="276"/>
      <c r="G105" s="282"/>
    </row>
    <row r="106" spans="5:7" ht="18" customHeight="1">
      <c r="E106" s="276"/>
      <c r="F106" s="276"/>
      <c r="G106" s="282"/>
    </row>
    <row r="107" spans="5:7" ht="18" customHeight="1">
      <c r="E107" s="276"/>
      <c r="F107" s="276"/>
      <c r="G107" s="282"/>
    </row>
    <row r="108" spans="5:7" ht="18" customHeight="1">
      <c r="E108" s="276"/>
      <c r="F108" s="276"/>
      <c r="G108" s="282"/>
    </row>
    <row r="109" spans="5:7" ht="18" customHeight="1">
      <c r="E109" s="276"/>
      <c r="F109" s="276"/>
      <c r="G109" s="282"/>
    </row>
    <row r="110" spans="5:7" ht="18" customHeight="1">
      <c r="E110" s="276"/>
      <c r="F110" s="276"/>
      <c r="G110" s="282"/>
    </row>
    <row r="111" spans="5:7" ht="18" customHeight="1">
      <c r="E111" s="276"/>
      <c r="F111" s="276"/>
      <c r="G111" s="282"/>
    </row>
    <row r="112" spans="5:7" ht="18" customHeight="1">
      <c r="E112" s="276"/>
      <c r="F112" s="276"/>
      <c r="G112" s="282"/>
    </row>
    <row r="113" spans="5:7" ht="18" customHeight="1">
      <c r="E113" s="276"/>
      <c r="F113" s="276"/>
      <c r="G113" s="282"/>
    </row>
    <row r="114" spans="5:7" ht="18" customHeight="1">
      <c r="E114" s="276"/>
      <c r="F114" s="276"/>
      <c r="G114" s="282"/>
    </row>
    <row r="115" spans="5:7" ht="18" customHeight="1">
      <c r="E115" s="276"/>
      <c r="F115" s="276"/>
      <c r="G115" s="282"/>
    </row>
    <row r="116" spans="5:7" ht="18" customHeight="1">
      <c r="E116" s="276"/>
      <c r="F116" s="276"/>
      <c r="G116" s="282"/>
    </row>
    <row r="117" spans="5:7" ht="18" customHeight="1">
      <c r="E117" s="276"/>
      <c r="F117" s="276"/>
      <c r="G117" s="282"/>
    </row>
    <row r="118" spans="5:7" ht="18" customHeight="1">
      <c r="E118" s="276"/>
      <c r="F118" s="276"/>
      <c r="G118" s="282"/>
    </row>
    <row r="119" spans="5:7" ht="18" customHeight="1">
      <c r="E119" s="276"/>
      <c r="F119" s="276"/>
      <c r="G119" s="282"/>
    </row>
    <row r="120" spans="5:7" ht="18" customHeight="1">
      <c r="E120" s="276"/>
      <c r="F120" s="276"/>
      <c r="G120" s="282"/>
    </row>
    <row r="121" spans="5:7" ht="18" customHeight="1">
      <c r="E121" s="276"/>
      <c r="F121" s="276"/>
      <c r="G121" s="282"/>
    </row>
    <row r="122" spans="5:7" ht="18" customHeight="1">
      <c r="E122" s="276"/>
      <c r="F122" s="276"/>
      <c r="G122" s="282"/>
    </row>
    <row r="123" spans="5:7" ht="18" customHeight="1">
      <c r="E123" s="276"/>
      <c r="F123" s="276"/>
      <c r="G123" s="282"/>
    </row>
    <row r="124" spans="5:7" ht="18" customHeight="1">
      <c r="E124" s="276"/>
      <c r="F124" s="276"/>
      <c r="G124" s="282"/>
    </row>
    <row r="125" spans="5:7" ht="18" customHeight="1">
      <c r="E125" s="276"/>
      <c r="F125" s="276"/>
      <c r="G125" s="282"/>
    </row>
    <row r="126" spans="5:7" ht="18" customHeight="1">
      <c r="E126" s="276"/>
      <c r="F126" s="276"/>
      <c r="G126" s="282"/>
    </row>
    <row r="127" spans="5:7" ht="18" customHeight="1">
      <c r="E127" s="276"/>
      <c r="F127" s="276"/>
      <c r="G127" s="282"/>
    </row>
    <row r="128" spans="5:7" ht="18" customHeight="1">
      <c r="E128" s="276"/>
      <c r="F128" s="276"/>
      <c r="G128" s="282"/>
    </row>
    <row r="129" spans="5:7" ht="18" customHeight="1">
      <c r="E129" s="276"/>
      <c r="F129" s="276"/>
      <c r="G129" s="282"/>
    </row>
    <row r="130" spans="5:7" ht="18" customHeight="1">
      <c r="E130" s="276"/>
      <c r="F130" s="276"/>
      <c r="G130" s="282"/>
    </row>
    <row r="131" spans="5:7" ht="18" customHeight="1">
      <c r="E131" s="276"/>
      <c r="F131" s="276"/>
      <c r="G131" s="282"/>
    </row>
    <row r="132" spans="5:7" ht="18" customHeight="1">
      <c r="E132" s="276"/>
      <c r="F132" s="276"/>
      <c r="G132" s="282"/>
    </row>
    <row r="133" spans="5:7" ht="18" customHeight="1">
      <c r="E133" s="276"/>
      <c r="F133" s="276"/>
      <c r="G133" s="282"/>
    </row>
    <row r="134" spans="5:7" ht="18" customHeight="1">
      <c r="E134" s="276"/>
      <c r="F134" s="276"/>
      <c r="G134" s="282"/>
    </row>
    <row r="135" spans="5:7" ht="18" customHeight="1">
      <c r="E135" s="276"/>
      <c r="F135" s="276"/>
      <c r="G135" s="282"/>
    </row>
    <row r="136" spans="5:7" ht="18" customHeight="1">
      <c r="E136" s="276"/>
      <c r="F136" s="276"/>
      <c r="G136" s="282"/>
    </row>
    <row r="137" spans="5:7" ht="18" customHeight="1">
      <c r="E137" s="276"/>
      <c r="F137" s="276"/>
      <c r="G137" s="282"/>
    </row>
    <row r="138" spans="5:7" ht="18" customHeight="1">
      <c r="E138" s="276"/>
      <c r="F138" s="276"/>
      <c r="G138" s="282"/>
    </row>
    <row r="139" spans="5:7" ht="18" customHeight="1">
      <c r="E139" s="276"/>
      <c r="F139" s="276"/>
      <c r="G139" s="282"/>
    </row>
    <row r="140" spans="5:7" ht="18" customHeight="1">
      <c r="E140" s="276"/>
      <c r="F140" s="276"/>
      <c r="G140" s="282"/>
    </row>
    <row r="141" spans="5:7" ht="18" customHeight="1">
      <c r="E141" s="276"/>
      <c r="F141" s="276"/>
      <c r="G141" s="282"/>
    </row>
  </sheetData>
  <mergeCells count="11">
    <mergeCell ref="A13:D13"/>
    <mergeCell ref="A1:G1"/>
    <mergeCell ref="A2:G2"/>
    <mergeCell ref="A3:D3"/>
    <mergeCell ref="A4:A5"/>
    <mergeCell ref="B4:B5"/>
    <mergeCell ref="C4:C5"/>
    <mergeCell ref="D4:D5"/>
    <mergeCell ref="E4:E5"/>
    <mergeCell ref="F4:F5"/>
    <mergeCell ref="G4:G5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r:id="rId1"/>
  <headerFooter alignWithMargins="0">
    <oddFooter>&amp;C&amp;"Times New Roman,Normalny"&amp;12Strona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2"/>
  <sheetViews>
    <sheetView showGridLines="0" defaultGridColor="0" view="pageBreakPreview" zoomScale="90" zoomScaleSheetLayoutView="90" colorId="15" workbookViewId="0" topLeftCell="A1">
      <selection activeCell="A2" sqref="A2:H2"/>
    </sheetView>
  </sheetViews>
  <sheetFormatPr defaultColWidth="9.00390625" defaultRowHeight="18" customHeight="1"/>
  <cols>
    <col min="1" max="1" width="6.00390625" style="251" customWidth="1"/>
    <col min="2" max="2" width="8.25390625" style="252" customWidth="1"/>
    <col min="3" max="3" width="5.875" style="252" customWidth="1"/>
    <col min="4" max="4" width="70.75390625" style="253" customWidth="1"/>
    <col min="5" max="8" width="12.75390625" style="252" customWidth="1"/>
    <col min="9" max="16384" width="9.00390625" style="252" customWidth="1"/>
  </cols>
  <sheetData>
    <row r="1" spans="1:8" ht="15" customHeight="1">
      <c r="A1" s="763" t="s">
        <v>704</v>
      </c>
      <c r="B1" s="763"/>
      <c r="C1" s="763"/>
      <c r="D1" s="763"/>
      <c r="E1" s="763"/>
      <c r="F1" s="763"/>
      <c r="G1" s="763"/>
      <c r="H1" s="763"/>
    </row>
    <row r="2" spans="1:8" ht="46.5" customHeight="1">
      <c r="A2" s="764" t="s">
        <v>690</v>
      </c>
      <c r="B2" s="764"/>
      <c r="C2" s="764"/>
      <c r="D2" s="764"/>
      <c r="E2" s="764"/>
      <c r="F2" s="764"/>
      <c r="G2" s="764"/>
      <c r="H2" s="764"/>
    </row>
    <row r="3" spans="1:8" ht="18" customHeight="1">
      <c r="A3" s="765" t="s">
        <v>705</v>
      </c>
      <c r="B3" s="765"/>
      <c r="C3" s="765"/>
      <c r="D3" s="765"/>
      <c r="G3" s="769" t="s">
        <v>274</v>
      </c>
      <c r="H3" s="769"/>
    </row>
    <row r="4" spans="1:8" s="256" customFormat="1" ht="16.5" customHeight="1">
      <c r="A4" s="766" t="s">
        <v>275</v>
      </c>
      <c r="B4" s="767" t="s">
        <v>296</v>
      </c>
      <c r="C4" s="767" t="s">
        <v>297</v>
      </c>
      <c r="D4" s="767" t="s">
        <v>298</v>
      </c>
      <c r="E4" s="767" t="s">
        <v>706</v>
      </c>
      <c r="F4" s="767" t="s">
        <v>707</v>
      </c>
      <c r="G4" s="767" t="s">
        <v>708</v>
      </c>
      <c r="H4" s="770" t="s">
        <v>695</v>
      </c>
    </row>
    <row r="5" spans="1:8" s="258" customFormat="1" ht="34.5" customHeight="1">
      <c r="A5" s="766"/>
      <c r="B5" s="767"/>
      <c r="C5" s="767"/>
      <c r="D5" s="767"/>
      <c r="E5" s="767"/>
      <c r="F5" s="767"/>
      <c r="G5" s="767"/>
      <c r="H5" s="770"/>
    </row>
    <row r="6" spans="1:8" s="262" customFormat="1" ht="12.75" customHeight="1">
      <c r="A6" s="259">
        <v>1</v>
      </c>
      <c r="B6" s="260">
        <v>2</v>
      </c>
      <c r="C6" s="260">
        <v>3</v>
      </c>
      <c r="D6" s="260">
        <v>4</v>
      </c>
      <c r="E6" s="260">
        <v>5</v>
      </c>
      <c r="F6" s="260">
        <v>6</v>
      </c>
      <c r="G6" s="260">
        <v>7</v>
      </c>
      <c r="H6" s="283">
        <v>8</v>
      </c>
    </row>
    <row r="7" spans="1:8" ht="18" customHeight="1">
      <c r="A7" s="263" t="s">
        <v>284</v>
      </c>
      <c r="B7" s="263">
        <v>80110</v>
      </c>
      <c r="C7" s="263"/>
      <c r="D7" s="264" t="s">
        <v>407</v>
      </c>
      <c r="E7" s="278">
        <f>SUM(E8:E11)</f>
        <v>2800</v>
      </c>
      <c r="F7" s="278">
        <f>SUM(F8:F11)</f>
        <v>11260</v>
      </c>
      <c r="G7" s="278">
        <f>SUM(G8:G11)</f>
        <v>93</v>
      </c>
      <c r="H7" s="278">
        <f>SUM(H8:H11)</f>
        <v>14153</v>
      </c>
    </row>
    <row r="8" spans="1:8" ht="48" customHeight="1">
      <c r="A8" s="267"/>
      <c r="B8" s="267"/>
      <c r="C8" s="267" t="s">
        <v>307</v>
      </c>
      <c r="D8" s="268" t="s">
        <v>408</v>
      </c>
      <c r="E8" s="269">
        <v>600</v>
      </c>
      <c r="F8" s="269">
        <v>8150</v>
      </c>
      <c r="G8" s="269">
        <v>0</v>
      </c>
      <c r="H8" s="270">
        <f>SUM(E8,F8)</f>
        <v>8750</v>
      </c>
    </row>
    <row r="9" spans="1:8" ht="18" customHeight="1">
      <c r="A9" s="267"/>
      <c r="B9" s="267"/>
      <c r="C9" s="267" t="s">
        <v>336</v>
      </c>
      <c r="D9" s="268" t="s">
        <v>337</v>
      </c>
      <c r="E9" s="269">
        <v>200</v>
      </c>
      <c r="F9" s="269">
        <v>1110</v>
      </c>
      <c r="G9" s="279">
        <v>0</v>
      </c>
      <c r="H9" s="270">
        <f>SUM(E9,F9)</f>
        <v>1310</v>
      </c>
    </row>
    <row r="10" spans="1:8" ht="18" customHeight="1">
      <c r="A10" s="267"/>
      <c r="B10" s="267"/>
      <c r="C10" s="267" t="s">
        <v>324</v>
      </c>
      <c r="D10" s="268" t="s">
        <v>325</v>
      </c>
      <c r="E10" s="269">
        <v>2000</v>
      </c>
      <c r="F10" s="269">
        <v>2000</v>
      </c>
      <c r="G10" s="280">
        <v>15</v>
      </c>
      <c r="H10" s="270">
        <f>SUM(E10,F10,G10)</f>
        <v>4015</v>
      </c>
    </row>
    <row r="11" spans="1:8" ht="18" customHeight="1">
      <c r="A11" s="267"/>
      <c r="B11" s="267"/>
      <c r="C11" s="267" t="s">
        <v>383</v>
      </c>
      <c r="D11" s="268" t="s">
        <v>409</v>
      </c>
      <c r="E11" s="269">
        <v>0</v>
      </c>
      <c r="F11" s="269">
        <v>0</v>
      </c>
      <c r="G11" s="280">
        <v>78</v>
      </c>
      <c r="H11" s="270">
        <f>SUM(G11)</f>
        <v>78</v>
      </c>
    </row>
    <row r="12" spans="1:8" ht="18" customHeight="1">
      <c r="A12" s="267"/>
      <c r="B12" s="271" t="s">
        <v>699</v>
      </c>
      <c r="C12" s="267"/>
      <c r="D12" s="272" t="s">
        <v>410</v>
      </c>
      <c r="E12" s="273">
        <f>SUM(E13)</f>
        <v>116532</v>
      </c>
      <c r="F12" s="273">
        <f>SUM(F13)</f>
        <v>222132</v>
      </c>
      <c r="G12" s="273">
        <f>SUM(G13)</f>
        <v>0</v>
      </c>
      <c r="H12" s="273">
        <f>SUM(H13)</f>
        <v>338664</v>
      </c>
    </row>
    <row r="13" spans="1:8" ht="18" customHeight="1">
      <c r="A13" s="267"/>
      <c r="B13" s="271"/>
      <c r="C13" s="267" t="s">
        <v>696</v>
      </c>
      <c r="D13" s="274" t="s">
        <v>337</v>
      </c>
      <c r="E13" s="279">
        <v>116532</v>
      </c>
      <c r="F13" s="279">
        <v>222132</v>
      </c>
      <c r="G13" s="280">
        <v>0</v>
      </c>
      <c r="H13" s="270">
        <f>SUM(E13,F13)</f>
        <v>338664</v>
      </c>
    </row>
    <row r="14" spans="1:8" ht="18" customHeight="1">
      <c r="A14" s="768" t="s">
        <v>434</v>
      </c>
      <c r="B14" s="768"/>
      <c r="C14" s="768"/>
      <c r="D14" s="768"/>
      <c r="E14" s="275">
        <f>E7+E12</f>
        <v>119332</v>
      </c>
      <c r="F14" s="275">
        <f>F7+F12</f>
        <v>233392</v>
      </c>
      <c r="G14" s="275">
        <f>G7+G12</f>
        <v>93</v>
      </c>
      <c r="H14" s="275">
        <f>H7+H12</f>
        <v>352817</v>
      </c>
    </row>
    <row r="15" spans="5:7" ht="18" customHeight="1">
      <c r="E15" s="276"/>
      <c r="F15" s="276"/>
      <c r="G15" s="282"/>
    </row>
    <row r="16" spans="5:7" ht="18" customHeight="1">
      <c r="E16" s="276"/>
      <c r="F16" s="276"/>
      <c r="G16" s="282"/>
    </row>
    <row r="17" spans="5:7" ht="18" customHeight="1">
      <c r="E17" s="276"/>
      <c r="F17" s="276"/>
      <c r="G17" s="282"/>
    </row>
    <row r="18" spans="5:7" ht="18" customHeight="1">
      <c r="E18" s="276"/>
      <c r="F18" s="276"/>
      <c r="G18" s="282"/>
    </row>
    <row r="19" spans="5:7" ht="18" customHeight="1">
      <c r="E19" s="276"/>
      <c r="F19" s="276"/>
      <c r="G19" s="282"/>
    </row>
    <row r="20" spans="5:7" ht="18" customHeight="1">
      <c r="E20" s="276"/>
      <c r="F20" s="276"/>
      <c r="G20" s="282"/>
    </row>
    <row r="21" spans="5:7" ht="18" customHeight="1">
      <c r="E21" s="276"/>
      <c r="F21" s="276"/>
      <c r="G21" s="282"/>
    </row>
    <row r="22" spans="5:7" ht="18" customHeight="1">
      <c r="E22" s="276"/>
      <c r="F22" s="276"/>
      <c r="G22" s="282"/>
    </row>
    <row r="23" spans="5:7" ht="18" customHeight="1">
      <c r="E23" s="276"/>
      <c r="F23" s="276"/>
      <c r="G23" s="282"/>
    </row>
    <row r="24" spans="5:7" ht="18" customHeight="1">
      <c r="E24" s="276"/>
      <c r="F24" s="276"/>
      <c r="G24" s="282"/>
    </row>
    <row r="25" spans="5:7" ht="18" customHeight="1">
      <c r="E25" s="276"/>
      <c r="F25" s="276"/>
      <c r="G25" s="282"/>
    </row>
    <row r="26" spans="5:7" ht="18" customHeight="1">
      <c r="E26" s="276"/>
      <c r="F26" s="276"/>
      <c r="G26" s="282"/>
    </row>
    <row r="27" spans="5:7" ht="18" customHeight="1">
      <c r="E27" s="276"/>
      <c r="F27" s="276"/>
      <c r="G27" s="282"/>
    </row>
    <row r="28" spans="5:7" ht="18" customHeight="1">
      <c r="E28" s="276"/>
      <c r="F28" s="276"/>
      <c r="G28" s="282"/>
    </row>
    <row r="29" spans="5:7" ht="18" customHeight="1">
      <c r="E29" s="276"/>
      <c r="F29" s="276"/>
      <c r="G29" s="282"/>
    </row>
    <row r="30" spans="5:7" ht="18" customHeight="1">
      <c r="E30" s="276"/>
      <c r="F30" s="276"/>
      <c r="G30" s="282"/>
    </row>
    <row r="31" spans="5:7" ht="18" customHeight="1">
      <c r="E31" s="276"/>
      <c r="F31" s="276"/>
      <c r="G31" s="282"/>
    </row>
    <row r="32" spans="5:7" ht="18" customHeight="1">
      <c r="E32" s="276"/>
      <c r="F32" s="276"/>
      <c r="G32" s="282"/>
    </row>
    <row r="33" spans="5:7" ht="18" customHeight="1">
      <c r="E33" s="276"/>
      <c r="F33" s="276"/>
      <c r="G33" s="282"/>
    </row>
    <row r="34" spans="5:7" ht="18" customHeight="1">
      <c r="E34" s="276"/>
      <c r="F34" s="276"/>
      <c r="G34" s="282"/>
    </row>
    <row r="35" spans="5:7" ht="18" customHeight="1">
      <c r="E35" s="276"/>
      <c r="F35" s="276"/>
      <c r="G35" s="282"/>
    </row>
    <row r="36" spans="5:7" ht="18" customHeight="1">
      <c r="E36" s="276"/>
      <c r="F36" s="276"/>
      <c r="G36" s="282"/>
    </row>
    <row r="37" spans="5:7" ht="18" customHeight="1">
      <c r="E37" s="276"/>
      <c r="F37" s="276"/>
      <c r="G37" s="282"/>
    </row>
    <row r="38" spans="5:7" ht="18" customHeight="1">
      <c r="E38" s="276"/>
      <c r="F38" s="276"/>
      <c r="G38" s="282"/>
    </row>
    <row r="39" spans="5:7" ht="18" customHeight="1">
      <c r="E39" s="276"/>
      <c r="F39" s="276"/>
      <c r="G39" s="282"/>
    </row>
    <row r="40" spans="5:7" ht="18" customHeight="1">
      <c r="E40" s="276"/>
      <c r="F40" s="276"/>
      <c r="G40" s="282"/>
    </row>
    <row r="41" spans="5:7" ht="18" customHeight="1">
      <c r="E41" s="276"/>
      <c r="F41" s="276"/>
      <c r="G41" s="282"/>
    </row>
    <row r="42" spans="5:7" ht="18" customHeight="1">
      <c r="E42" s="276"/>
      <c r="F42" s="276"/>
      <c r="G42" s="282"/>
    </row>
    <row r="43" spans="5:7" ht="18" customHeight="1">
      <c r="E43" s="276"/>
      <c r="F43" s="276"/>
      <c r="G43" s="282"/>
    </row>
    <row r="44" spans="5:7" ht="18" customHeight="1">
      <c r="E44" s="276"/>
      <c r="F44" s="276"/>
      <c r="G44" s="282"/>
    </row>
    <row r="45" spans="5:7" ht="18" customHeight="1">
      <c r="E45" s="276"/>
      <c r="F45" s="276"/>
      <c r="G45" s="282"/>
    </row>
    <row r="46" spans="5:7" ht="18" customHeight="1">
      <c r="E46" s="276"/>
      <c r="F46" s="276"/>
      <c r="G46" s="282"/>
    </row>
    <row r="47" spans="5:7" ht="18" customHeight="1">
      <c r="E47" s="276"/>
      <c r="F47" s="276"/>
      <c r="G47" s="282"/>
    </row>
    <row r="48" spans="5:7" ht="18" customHeight="1">
      <c r="E48" s="276"/>
      <c r="F48" s="276"/>
      <c r="G48" s="282"/>
    </row>
    <row r="49" spans="5:7" ht="18" customHeight="1">
      <c r="E49" s="276"/>
      <c r="F49" s="276"/>
      <c r="G49" s="282"/>
    </row>
    <row r="50" spans="5:7" ht="18" customHeight="1">
      <c r="E50" s="276"/>
      <c r="F50" s="276"/>
      <c r="G50" s="282"/>
    </row>
    <row r="51" spans="5:7" ht="18" customHeight="1">
      <c r="E51" s="276"/>
      <c r="F51" s="276"/>
      <c r="G51" s="282"/>
    </row>
    <row r="52" spans="5:7" ht="18" customHeight="1">
      <c r="E52" s="276"/>
      <c r="F52" s="276"/>
      <c r="G52" s="282"/>
    </row>
    <row r="53" spans="5:7" ht="18" customHeight="1">
      <c r="E53" s="276"/>
      <c r="F53" s="276"/>
      <c r="G53" s="282"/>
    </row>
    <row r="54" spans="5:7" ht="18" customHeight="1">
      <c r="E54" s="276"/>
      <c r="F54" s="276"/>
      <c r="G54" s="282"/>
    </row>
    <row r="55" spans="5:7" ht="18" customHeight="1">
      <c r="E55" s="276"/>
      <c r="F55" s="276"/>
      <c r="G55" s="282"/>
    </row>
    <row r="56" spans="5:7" ht="18" customHeight="1">
      <c r="E56" s="276"/>
      <c r="F56" s="276"/>
      <c r="G56" s="282"/>
    </row>
    <row r="57" spans="5:7" ht="18" customHeight="1">
      <c r="E57" s="276"/>
      <c r="F57" s="276"/>
      <c r="G57" s="282"/>
    </row>
    <row r="58" spans="5:7" ht="18" customHeight="1">
      <c r="E58" s="276"/>
      <c r="F58" s="276"/>
      <c r="G58" s="282"/>
    </row>
    <row r="59" spans="5:7" ht="18" customHeight="1">
      <c r="E59" s="276"/>
      <c r="F59" s="276"/>
      <c r="G59" s="282"/>
    </row>
    <row r="60" spans="5:7" ht="18" customHeight="1">
      <c r="E60" s="276"/>
      <c r="F60" s="276"/>
      <c r="G60" s="282"/>
    </row>
    <row r="61" spans="5:7" ht="18" customHeight="1">
      <c r="E61" s="276"/>
      <c r="F61" s="276"/>
      <c r="G61" s="282"/>
    </row>
    <row r="62" spans="5:7" ht="18" customHeight="1">
      <c r="E62" s="276"/>
      <c r="F62" s="276"/>
      <c r="G62" s="282"/>
    </row>
    <row r="63" spans="5:7" ht="18" customHeight="1">
      <c r="E63" s="276"/>
      <c r="F63" s="276"/>
      <c r="G63" s="282"/>
    </row>
    <row r="64" spans="5:7" ht="18" customHeight="1">
      <c r="E64" s="276"/>
      <c r="F64" s="276"/>
      <c r="G64" s="282"/>
    </row>
    <row r="65" spans="5:7" ht="18" customHeight="1">
      <c r="E65" s="276"/>
      <c r="F65" s="276"/>
      <c r="G65" s="282"/>
    </row>
    <row r="66" spans="5:7" ht="18" customHeight="1">
      <c r="E66" s="276"/>
      <c r="F66" s="276"/>
      <c r="G66" s="282"/>
    </row>
    <row r="67" spans="5:7" ht="18" customHeight="1">
      <c r="E67" s="276"/>
      <c r="F67" s="276"/>
      <c r="G67" s="282"/>
    </row>
    <row r="68" spans="5:7" ht="18" customHeight="1">
      <c r="E68" s="276"/>
      <c r="F68" s="276"/>
      <c r="G68" s="282"/>
    </row>
    <row r="69" spans="5:7" ht="18" customHeight="1">
      <c r="E69" s="276"/>
      <c r="F69" s="276"/>
      <c r="G69" s="282"/>
    </row>
    <row r="70" spans="5:7" ht="18" customHeight="1">
      <c r="E70" s="276"/>
      <c r="F70" s="276"/>
      <c r="G70" s="282"/>
    </row>
    <row r="71" spans="5:7" ht="18" customHeight="1">
      <c r="E71" s="276"/>
      <c r="F71" s="276"/>
      <c r="G71" s="282"/>
    </row>
    <row r="72" spans="5:7" ht="18" customHeight="1">
      <c r="E72" s="276"/>
      <c r="F72" s="276"/>
      <c r="G72" s="282"/>
    </row>
    <row r="73" spans="5:7" ht="18" customHeight="1">
      <c r="E73" s="276"/>
      <c r="F73" s="276"/>
      <c r="G73" s="282"/>
    </row>
    <row r="74" spans="5:7" ht="18" customHeight="1">
      <c r="E74" s="276"/>
      <c r="F74" s="276"/>
      <c r="G74" s="282"/>
    </row>
    <row r="75" spans="5:7" ht="18" customHeight="1">
      <c r="E75" s="276"/>
      <c r="F75" s="276"/>
      <c r="G75" s="282"/>
    </row>
    <row r="76" spans="5:7" ht="18" customHeight="1">
      <c r="E76" s="276"/>
      <c r="F76" s="276"/>
      <c r="G76" s="282"/>
    </row>
    <row r="77" spans="5:7" ht="18" customHeight="1">
      <c r="E77" s="276"/>
      <c r="F77" s="276"/>
      <c r="G77" s="282"/>
    </row>
    <row r="78" spans="5:7" ht="18" customHeight="1">
      <c r="E78" s="276"/>
      <c r="F78" s="276"/>
      <c r="G78" s="282"/>
    </row>
    <row r="79" spans="5:7" ht="18" customHeight="1">
      <c r="E79" s="276"/>
      <c r="F79" s="276"/>
      <c r="G79" s="282"/>
    </row>
    <row r="80" spans="5:7" ht="18" customHeight="1">
      <c r="E80" s="276"/>
      <c r="F80" s="276"/>
      <c r="G80" s="282"/>
    </row>
    <row r="81" spans="5:7" ht="18" customHeight="1">
      <c r="E81" s="276"/>
      <c r="F81" s="276"/>
      <c r="G81" s="282"/>
    </row>
    <row r="82" spans="5:7" ht="18" customHeight="1">
      <c r="E82" s="276"/>
      <c r="F82" s="276"/>
      <c r="G82" s="282"/>
    </row>
    <row r="83" spans="5:7" ht="18" customHeight="1">
      <c r="E83" s="276"/>
      <c r="F83" s="276"/>
      <c r="G83" s="282"/>
    </row>
    <row r="84" spans="5:7" ht="18" customHeight="1">
      <c r="E84" s="276"/>
      <c r="F84" s="276"/>
      <c r="G84" s="282"/>
    </row>
    <row r="85" spans="5:7" ht="18" customHeight="1">
      <c r="E85" s="276"/>
      <c r="F85" s="276"/>
      <c r="G85" s="282"/>
    </row>
    <row r="86" spans="5:7" ht="18" customHeight="1">
      <c r="E86" s="276"/>
      <c r="F86" s="276"/>
      <c r="G86" s="282"/>
    </row>
    <row r="87" spans="5:7" ht="18" customHeight="1">
      <c r="E87" s="276"/>
      <c r="F87" s="276"/>
      <c r="G87" s="282"/>
    </row>
    <row r="88" spans="5:7" ht="18" customHeight="1">
      <c r="E88" s="276"/>
      <c r="F88" s="276"/>
      <c r="G88" s="282"/>
    </row>
    <row r="89" spans="5:7" ht="18" customHeight="1">
      <c r="E89" s="276"/>
      <c r="F89" s="276"/>
      <c r="G89" s="282"/>
    </row>
    <row r="90" spans="5:7" ht="18" customHeight="1">
      <c r="E90" s="276"/>
      <c r="F90" s="276"/>
      <c r="G90" s="282"/>
    </row>
    <row r="91" spans="5:7" ht="18" customHeight="1">
      <c r="E91" s="276"/>
      <c r="F91" s="276"/>
      <c r="G91" s="282"/>
    </row>
    <row r="92" spans="5:7" ht="18" customHeight="1">
      <c r="E92" s="276"/>
      <c r="F92" s="276"/>
      <c r="G92" s="282"/>
    </row>
    <row r="93" spans="5:7" ht="18" customHeight="1">
      <c r="E93" s="276"/>
      <c r="F93" s="276"/>
      <c r="G93" s="282"/>
    </row>
    <row r="94" spans="5:7" ht="18" customHeight="1">
      <c r="E94" s="276"/>
      <c r="F94" s="276"/>
      <c r="G94" s="282"/>
    </row>
    <row r="95" spans="5:7" ht="18" customHeight="1">
      <c r="E95" s="276"/>
      <c r="F95" s="276"/>
      <c r="G95" s="282"/>
    </row>
    <row r="96" spans="5:7" ht="18" customHeight="1">
      <c r="E96" s="276"/>
      <c r="F96" s="276"/>
      <c r="G96" s="282"/>
    </row>
    <row r="97" spans="5:7" ht="18" customHeight="1">
      <c r="E97" s="276"/>
      <c r="F97" s="276"/>
      <c r="G97" s="282"/>
    </row>
    <row r="98" spans="5:7" ht="18" customHeight="1">
      <c r="E98" s="276"/>
      <c r="F98" s="276"/>
      <c r="G98" s="282"/>
    </row>
    <row r="99" spans="5:7" ht="18" customHeight="1">
      <c r="E99" s="276"/>
      <c r="F99" s="276"/>
      <c r="G99" s="282"/>
    </row>
    <row r="100" spans="5:7" ht="18" customHeight="1">
      <c r="E100" s="276"/>
      <c r="F100" s="276"/>
      <c r="G100" s="282"/>
    </row>
    <row r="101" spans="5:7" ht="18" customHeight="1">
      <c r="E101" s="276"/>
      <c r="F101" s="276"/>
      <c r="G101" s="282"/>
    </row>
    <row r="102" spans="5:7" ht="18" customHeight="1">
      <c r="E102" s="276"/>
      <c r="F102" s="276"/>
      <c r="G102" s="282"/>
    </row>
    <row r="103" spans="5:7" ht="18" customHeight="1">
      <c r="E103" s="276"/>
      <c r="F103" s="276"/>
      <c r="G103" s="282"/>
    </row>
    <row r="104" spans="5:7" ht="18" customHeight="1">
      <c r="E104" s="276"/>
      <c r="F104" s="276"/>
      <c r="G104" s="282"/>
    </row>
    <row r="105" spans="5:7" ht="18" customHeight="1">
      <c r="E105" s="276"/>
      <c r="F105" s="276"/>
      <c r="G105" s="282"/>
    </row>
    <row r="106" spans="5:7" ht="18" customHeight="1">
      <c r="E106" s="276"/>
      <c r="F106" s="276"/>
      <c r="G106" s="282"/>
    </row>
    <row r="107" spans="5:7" ht="18" customHeight="1">
      <c r="E107" s="276"/>
      <c r="F107" s="276"/>
      <c r="G107" s="282"/>
    </row>
    <row r="108" spans="5:7" ht="18" customHeight="1">
      <c r="E108" s="276"/>
      <c r="F108" s="276"/>
      <c r="G108" s="282"/>
    </row>
    <row r="109" spans="5:7" ht="18" customHeight="1">
      <c r="E109" s="276"/>
      <c r="F109" s="276"/>
      <c r="G109" s="282"/>
    </row>
    <row r="110" spans="5:7" ht="18" customHeight="1">
      <c r="E110" s="276"/>
      <c r="F110" s="276"/>
      <c r="G110" s="282"/>
    </row>
    <row r="111" spans="5:7" ht="18" customHeight="1">
      <c r="E111" s="276"/>
      <c r="F111" s="276"/>
      <c r="G111" s="282"/>
    </row>
    <row r="112" spans="5:7" ht="18" customHeight="1">
      <c r="E112" s="276"/>
      <c r="F112" s="276"/>
      <c r="G112" s="282"/>
    </row>
    <row r="113" spans="5:7" ht="18" customHeight="1">
      <c r="E113" s="276"/>
      <c r="F113" s="276"/>
      <c r="G113" s="282"/>
    </row>
    <row r="114" spans="5:7" ht="18" customHeight="1">
      <c r="E114" s="276"/>
      <c r="F114" s="276"/>
      <c r="G114" s="282"/>
    </row>
    <row r="115" spans="5:7" ht="18" customHeight="1">
      <c r="E115" s="276"/>
      <c r="F115" s="276"/>
      <c r="G115" s="282"/>
    </row>
    <row r="116" spans="5:7" ht="18" customHeight="1">
      <c r="E116" s="276"/>
      <c r="F116" s="276"/>
      <c r="G116" s="282"/>
    </row>
    <row r="117" spans="5:7" ht="18" customHeight="1">
      <c r="E117" s="276"/>
      <c r="F117" s="276"/>
      <c r="G117" s="282"/>
    </row>
    <row r="118" spans="5:7" ht="18" customHeight="1">
      <c r="E118" s="276"/>
      <c r="F118" s="276"/>
      <c r="G118" s="282"/>
    </row>
    <row r="119" spans="5:7" ht="18" customHeight="1">
      <c r="E119" s="276"/>
      <c r="F119" s="276"/>
      <c r="G119" s="282"/>
    </row>
    <row r="120" spans="5:7" ht="18" customHeight="1">
      <c r="E120" s="276"/>
      <c r="F120" s="276"/>
      <c r="G120" s="282"/>
    </row>
    <row r="121" spans="5:7" ht="18" customHeight="1">
      <c r="E121" s="276"/>
      <c r="F121" s="276"/>
      <c r="G121" s="282"/>
    </row>
    <row r="122" spans="5:7" ht="18" customHeight="1">
      <c r="E122" s="276"/>
      <c r="F122" s="276"/>
      <c r="G122" s="282"/>
    </row>
    <row r="123" spans="5:7" ht="18" customHeight="1">
      <c r="E123" s="276"/>
      <c r="F123" s="276"/>
      <c r="G123" s="282"/>
    </row>
    <row r="124" spans="5:7" ht="18" customHeight="1">
      <c r="E124" s="276"/>
      <c r="F124" s="276"/>
      <c r="G124" s="282"/>
    </row>
    <row r="125" spans="5:7" ht="18" customHeight="1">
      <c r="E125" s="276"/>
      <c r="F125" s="276"/>
      <c r="G125" s="282"/>
    </row>
    <row r="126" spans="5:7" ht="18" customHeight="1">
      <c r="E126" s="276"/>
      <c r="F126" s="276"/>
      <c r="G126" s="282"/>
    </row>
    <row r="127" spans="5:7" ht="18" customHeight="1">
      <c r="E127" s="276"/>
      <c r="F127" s="276"/>
      <c r="G127" s="282"/>
    </row>
    <row r="128" spans="5:7" ht="18" customHeight="1">
      <c r="E128" s="276"/>
      <c r="F128" s="276"/>
      <c r="G128" s="282"/>
    </row>
    <row r="129" spans="5:7" ht="18" customHeight="1">
      <c r="E129" s="276"/>
      <c r="F129" s="276"/>
      <c r="G129" s="282"/>
    </row>
    <row r="130" spans="5:7" ht="18" customHeight="1">
      <c r="E130" s="276"/>
      <c r="F130" s="276"/>
      <c r="G130" s="282"/>
    </row>
    <row r="131" spans="5:7" ht="18" customHeight="1">
      <c r="E131" s="276"/>
      <c r="F131" s="276"/>
      <c r="G131" s="282"/>
    </row>
    <row r="132" spans="5:7" ht="18" customHeight="1">
      <c r="E132" s="276"/>
      <c r="F132" s="276"/>
      <c r="G132" s="282"/>
    </row>
    <row r="133" spans="5:7" ht="18" customHeight="1">
      <c r="E133" s="276"/>
      <c r="F133" s="276"/>
      <c r="G133" s="282"/>
    </row>
    <row r="134" spans="5:7" ht="18" customHeight="1">
      <c r="E134" s="276"/>
      <c r="F134" s="276"/>
      <c r="G134" s="282"/>
    </row>
    <row r="135" spans="5:7" ht="18" customHeight="1">
      <c r="E135" s="276"/>
      <c r="F135" s="276"/>
      <c r="G135" s="282"/>
    </row>
    <row r="136" spans="5:7" ht="18" customHeight="1">
      <c r="E136" s="276"/>
      <c r="F136" s="276"/>
      <c r="G136" s="282"/>
    </row>
    <row r="137" spans="5:7" ht="18" customHeight="1">
      <c r="E137" s="276"/>
      <c r="F137" s="276"/>
      <c r="G137" s="282"/>
    </row>
    <row r="138" spans="5:7" ht="18" customHeight="1">
      <c r="E138" s="276"/>
      <c r="F138" s="276"/>
      <c r="G138" s="282"/>
    </row>
    <row r="139" spans="5:7" ht="18" customHeight="1">
      <c r="E139" s="276"/>
      <c r="F139" s="276"/>
      <c r="G139" s="282"/>
    </row>
    <row r="140" spans="5:7" ht="18" customHeight="1">
      <c r="E140" s="276"/>
      <c r="F140" s="276"/>
      <c r="G140" s="282"/>
    </row>
    <row r="141" spans="5:7" ht="18" customHeight="1">
      <c r="E141" s="276"/>
      <c r="F141" s="276"/>
      <c r="G141" s="282"/>
    </row>
    <row r="142" spans="5:7" ht="18" customHeight="1">
      <c r="E142" s="276"/>
      <c r="F142" s="276"/>
      <c r="G142" s="282"/>
    </row>
  </sheetData>
  <mergeCells count="13">
    <mergeCell ref="A14:D14"/>
    <mergeCell ref="E4:E5"/>
    <mergeCell ref="F4:F5"/>
    <mergeCell ref="G4:G5"/>
    <mergeCell ref="H4:H5"/>
    <mergeCell ref="A4:A5"/>
    <mergeCell ref="B4:B5"/>
    <mergeCell ref="C4:C5"/>
    <mergeCell ref="D4:D5"/>
    <mergeCell ref="A1:H1"/>
    <mergeCell ref="A2:H2"/>
    <mergeCell ref="A3:D3"/>
    <mergeCell ref="G3:H3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96" r:id="rId1"/>
  <headerFooter alignWithMargins="0">
    <oddFooter>&amp;C&amp;"Times New Roman,Normalny"&amp;12Strona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8"/>
  <sheetViews>
    <sheetView showGridLines="0" defaultGridColor="0" view="pageBreakPreview" zoomScale="90" zoomScaleSheetLayoutView="90" colorId="15" workbookViewId="0" topLeftCell="A1">
      <selection activeCell="O8" sqref="O8"/>
    </sheetView>
  </sheetViews>
  <sheetFormatPr defaultColWidth="9.00390625" defaultRowHeight="12.75"/>
  <cols>
    <col min="1" max="1" width="4.875" style="117" customWidth="1"/>
    <col min="2" max="2" width="7.00390625" style="117" customWidth="1"/>
    <col min="3" max="3" width="5.25390625" style="117" customWidth="1"/>
    <col min="4" max="4" width="39.625" style="117" customWidth="1"/>
    <col min="5" max="5" width="10.625" style="117" customWidth="1"/>
    <col min="6" max="6" width="9.875" style="117" customWidth="1"/>
    <col min="7" max="7" width="11.25390625" style="117" customWidth="1"/>
    <col min="8" max="8" width="9.00390625" style="117" customWidth="1"/>
    <col min="9" max="9" width="10.625" style="117" customWidth="1"/>
    <col min="10" max="10" width="8.875" style="117" customWidth="1"/>
    <col min="11" max="11" width="8.625" style="117" customWidth="1"/>
    <col min="12" max="12" width="9.625" style="117" customWidth="1"/>
    <col min="13" max="13" width="8.875" style="284" customWidth="1"/>
    <col min="14" max="222" width="8.875" style="117" customWidth="1"/>
    <col min="223" max="225" width="11.00390625" style="117" customWidth="1"/>
    <col min="226" max="16384" width="9.00390625" style="116" customWidth="1"/>
  </cols>
  <sheetData>
    <row r="1" spans="1:13" s="286" customFormat="1" ht="15.75" customHeight="1">
      <c r="A1" s="771" t="s">
        <v>709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285"/>
    </row>
    <row r="2" spans="1:13" s="286" customFormat="1" ht="33.75" customHeight="1">
      <c r="A2" s="772" t="s">
        <v>710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285"/>
    </row>
    <row r="3" spans="1:13" s="286" customFormat="1" ht="15.75" customHeight="1">
      <c r="A3" s="773" t="s">
        <v>692</v>
      </c>
      <c r="B3" s="773"/>
      <c r="C3" s="773"/>
      <c r="D3" s="773"/>
      <c r="E3" s="287"/>
      <c r="F3" s="287"/>
      <c r="G3" s="287"/>
      <c r="H3" s="287"/>
      <c r="I3" s="287"/>
      <c r="J3" s="287"/>
      <c r="K3" s="287"/>
      <c r="L3" s="288" t="s">
        <v>274</v>
      </c>
      <c r="M3" s="285"/>
    </row>
    <row r="4" spans="1:12" s="290" customFormat="1" ht="12" customHeight="1">
      <c r="A4" s="774" t="s">
        <v>275</v>
      </c>
      <c r="B4" s="774" t="s">
        <v>296</v>
      </c>
      <c r="C4" s="775" t="s">
        <v>297</v>
      </c>
      <c r="D4" s="775" t="s">
        <v>711</v>
      </c>
      <c r="E4" s="775" t="s">
        <v>463</v>
      </c>
      <c r="F4" s="776" t="s">
        <v>300</v>
      </c>
      <c r="G4" s="776"/>
      <c r="H4" s="776"/>
      <c r="I4" s="776"/>
      <c r="J4" s="776"/>
      <c r="K4" s="776"/>
      <c r="L4" s="776"/>
    </row>
    <row r="5" spans="1:12" s="290" customFormat="1" ht="12" customHeight="1">
      <c r="A5" s="774"/>
      <c r="B5" s="774"/>
      <c r="C5" s="775"/>
      <c r="D5" s="775"/>
      <c r="E5" s="775"/>
      <c r="F5" s="777" t="s">
        <v>636</v>
      </c>
      <c r="G5" s="777" t="s">
        <v>216</v>
      </c>
      <c r="H5" s="777"/>
      <c r="I5" s="777"/>
      <c r="J5" s="777"/>
      <c r="K5" s="777"/>
      <c r="L5" s="777" t="s">
        <v>465</v>
      </c>
    </row>
    <row r="6" spans="1:12" s="290" customFormat="1" ht="60">
      <c r="A6" s="774"/>
      <c r="B6" s="774"/>
      <c r="C6" s="775"/>
      <c r="D6" s="775"/>
      <c r="E6" s="775"/>
      <c r="F6" s="777"/>
      <c r="G6" s="291" t="s">
        <v>472</v>
      </c>
      <c r="H6" s="291" t="s">
        <v>638</v>
      </c>
      <c r="I6" s="292" t="s">
        <v>474</v>
      </c>
      <c r="J6" s="293" t="s">
        <v>468</v>
      </c>
      <c r="K6" s="289" t="s">
        <v>712</v>
      </c>
      <c r="L6" s="777"/>
    </row>
    <row r="7" spans="1:13" s="286" customFormat="1" ht="15.75">
      <c r="A7" s="294">
        <v>1</v>
      </c>
      <c r="B7" s="294">
        <v>2</v>
      </c>
      <c r="C7" s="294">
        <v>3</v>
      </c>
      <c r="D7" s="294">
        <v>4</v>
      </c>
      <c r="E7" s="294">
        <v>5</v>
      </c>
      <c r="F7" s="294">
        <v>6</v>
      </c>
      <c r="G7" s="294">
        <v>7</v>
      </c>
      <c r="H7" s="294">
        <v>8</v>
      </c>
      <c r="I7" s="294">
        <v>9</v>
      </c>
      <c r="J7" s="294">
        <v>10</v>
      </c>
      <c r="K7" s="294">
        <v>11</v>
      </c>
      <c r="L7" s="294">
        <v>12</v>
      </c>
      <c r="M7" s="285"/>
    </row>
    <row r="8" spans="1:13" s="286" customFormat="1" ht="15.75">
      <c r="A8" s="229">
        <v>801</v>
      </c>
      <c r="B8" s="229"/>
      <c r="C8" s="229"/>
      <c r="D8" s="229" t="s">
        <v>399</v>
      </c>
      <c r="E8" s="295">
        <f aca="true" t="shared" si="0" ref="E8:L8">E9+E33+E44+E51+E67</f>
        <v>3806312.3806362506</v>
      </c>
      <c r="F8" s="295">
        <f t="shared" si="0"/>
        <v>3575412.3806362506</v>
      </c>
      <c r="G8" s="295">
        <f t="shared" si="0"/>
        <v>2498999</v>
      </c>
      <c r="H8" s="295">
        <f t="shared" si="0"/>
        <v>436456.766</v>
      </c>
      <c r="I8" s="295">
        <f t="shared" si="0"/>
        <v>440313.555</v>
      </c>
      <c r="J8" s="295">
        <f t="shared" si="0"/>
        <v>12544</v>
      </c>
      <c r="K8" s="295">
        <f t="shared" si="0"/>
        <v>0</v>
      </c>
      <c r="L8" s="295">
        <f t="shared" si="0"/>
        <v>230900</v>
      </c>
      <c r="M8" s="285"/>
    </row>
    <row r="9" spans="1:13" s="286" customFormat="1" ht="15.75">
      <c r="A9" s="236"/>
      <c r="B9" s="236">
        <v>80101</v>
      </c>
      <c r="C9" s="236"/>
      <c r="D9" s="171" t="s">
        <v>400</v>
      </c>
      <c r="E9" s="237">
        <f aca="true" t="shared" si="1" ref="E9:L9">SUM(E10:E32)</f>
        <v>3312022.2263</v>
      </c>
      <c r="F9" s="237">
        <f t="shared" si="1"/>
        <v>3081122.2263</v>
      </c>
      <c r="G9" s="237">
        <f t="shared" si="1"/>
        <v>2245684</v>
      </c>
      <c r="H9" s="237">
        <f t="shared" si="1"/>
        <v>391772</v>
      </c>
      <c r="I9" s="237">
        <f t="shared" si="1"/>
        <v>433056.2263</v>
      </c>
      <c r="J9" s="237">
        <f t="shared" si="1"/>
        <v>10610</v>
      </c>
      <c r="K9" s="237">
        <f t="shared" si="1"/>
        <v>0</v>
      </c>
      <c r="L9" s="237">
        <f t="shared" si="1"/>
        <v>230900</v>
      </c>
      <c r="M9" s="285"/>
    </row>
    <row r="10" spans="1:13" s="286" customFormat="1" ht="31.5">
      <c r="A10" s="238"/>
      <c r="B10" s="238"/>
      <c r="C10" s="239">
        <v>3020</v>
      </c>
      <c r="D10" s="240" t="s">
        <v>713</v>
      </c>
      <c r="E10" s="241">
        <f aca="true" t="shared" si="2" ref="E10:E26">F10</f>
        <v>9960</v>
      </c>
      <c r="F10" s="241">
        <f>J10</f>
        <v>9960</v>
      </c>
      <c r="G10" s="241"/>
      <c r="H10" s="241"/>
      <c r="I10" s="296"/>
      <c r="J10" s="241">
        <v>9960</v>
      </c>
      <c r="K10" s="297"/>
      <c r="L10" s="296"/>
      <c r="M10" s="285"/>
    </row>
    <row r="11" spans="1:13" s="286" customFormat="1" ht="15.75">
      <c r="A11" s="238"/>
      <c r="B11" s="238"/>
      <c r="C11" s="239">
        <v>3050</v>
      </c>
      <c r="D11" s="240" t="s">
        <v>714</v>
      </c>
      <c r="E11" s="241">
        <f t="shared" si="2"/>
        <v>650</v>
      </c>
      <c r="F11" s="241">
        <f>J11</f>
        <v>650</v>
      </c>
      <c r="G11" s="241"/>
      <c r="H11" s="241"/>
      <c r="I11" s="298"/>
      <c r="J11" s="241">
        <v>650</v>
      </c>
      <c r="K11" s="299"/>
      <c r="L11" s="298"/>
      <c r="M11" s="285"/>
    </row>
    <row r="12" spans="1:13" s="286" customFormat="1" ht="15.75">
      <c r="A12" s="238"/>
      <c r="B12" s="238"/>
      <c r="C12" s="239">
        <v>4010</v>
      </c>
      <c r="D12" s="240" t="s">
        <v>545</v>
      </c>
      <c r="E12" s="241">
        <f t="shared" si="2"/>
        <v>2075684</v>
      </c>
      <c r="F12" s="241">
        <f>G12</f>
        <v>2075684</v>
      </c>
      <c r="G12" s="241">
        <v>2075684</v>
      </c>
      <c r="H12" s="241"/>
      <c r="I12" s="298"/>
      <c r="J12" s="299"/>
      <c r="K12" s="299"/>
      <c r="L12" s="298"/>
      <c r="M12" s="285"/>
    </row>
    <row r="13" spans="1:13" s="286" customFormat="1" ht="15.75">
      <c r="A13" s="238"/>
      <c r="B13" s="238"/>
      <c r="C13" s="239">
        <v>4040</v>
      </c>
      <c r="D13" s="240" t="s">
        <v>562</v>
      </c>
      <c r="E13" s="241">
        <f t="shared" si="2"/>
        <v>170000</v>
      </c>
      <c r="F13" s="241">
        <f>G13</f>
        <v>170000</v>
      </c>
      <c r="G13" s="241">
        <v>170000</v>
      </c>
      <c r="H13" s="241"/>
      <c r="I13" s="298"/>
      <c r="J13" s="299"/>
      <c r="K13" s="299"/>
      <c r="L13" s="298"/>
      <c r="M13" s="285"/>
    </row>
    <row r="14" spans="1:13" s="286" customFormat="1" ht="15.75">
      <c r="A14" s="238"/>
      <c r="B14" s="238"/>
      <c r="C14" s="239">
        <v>4110</v>
      </c>
      <c r="D14" s="240" t="s">
        <v>563</v>
      </c>
      <c r="E14" s="241">
        <f t="shared" si="2"/>
        <v>337383</v>
      </c>
      <c r="F14" s="241">
        <f>H14</f>
        <v>337383</v>
      </c>
      <c r="G14" s="241"/>
      <c r="H14" s="70">
        <v>337383</v>
      </c>
      <c r="I14" s="298"/>
      <c r="J14" s="299"/>
      <c r="K14" s="299"/>
      <c r="L14" s="298"/>
      <c r="M14" s="285"/>
    </row>
    <row r="15" spans="1:13" s="286" customFormat="1" ht="15.75">
      <c r="A15" s="238"/>
      <c r="B15" s="238"/>
      <c r="C15" s="239">
        <v>4120</v>
      </c>
      <c r="D15" s="240" t="s">
        <v>564</v>
      </c>
      <c r="E15" s="241">
        <f t="shared" si="2"/>
        <v>54389</v>
      </c>
      <c r="F15" s="241">
        <f>H15</f>
        <v>54389</v>
      </c>
      <c r="G15" s="241"/>
      <c r="H15" s="70">
        <v>54389</v>
      </c>
      <c r="I15" s="298"/>
      <c r="J15" s="299"/>
      <c r="K15" s="299"/>
      <c r="L15" s="298"/>
      <c r="M15" s="285"/>
    </row>
    <row r="16" spans="1:13" s="286" customFormat="1" ht="15.75">
      <c r="A16" s="238"/>
      <c r="B16" s="238"/>
      <c r="C16" s="239">
        <v>4170</v>
      </c>
      <c r="D16" s="240" t="s">
        <v>715</v>
      </c>
      <c r="E16" s="241">
        <f t="shared" si="2"/>
        <v>0</v>
      </c>
      <c r="F16" s="241">
        <v>0</v>
      </c>
      <c r="G16" s="241"/>
      <c r="H16" s="241"/>
      <c r="I16" s="298"/>
      <c r="J16" s="299"/>
      <c r="K16" s="299"/>
      <c r="L16" s="298"/>
      <c r="M16" s="285"/>
    </row>
    <row r="17" spans="1:13" s="286" customFormat="1" ht="15.75">
      <c r="A17" s="238"/>
      <c r="B17" s="238"/>
      <c r="C17" s="239">
        <v>4210</v>
      </c>
      <c r="D17" s="240" t="s">
        <v>555</v>
      </c>
      <c r="E17" s="241">
        <f t="shared" si="2"/>
        <v>20000</v>
      </c>
      <c r="F17" s="241">
        <f aca="true" t="shared" si="3" ref="F17:F26">I17</f>
        <v>20000</v>
      </c>
      <c r="G17" s="241"/>
      <c r="H17" s="241"/>
      <c r="I17" s="241">
        <v>20000</v>
      </c>
      <c r="J17" s="299"/>
      <c r="K17" s="299"/>
      <c r="L17" s="298"/>
      <c r="M17" s="285"/>
    </row>
    <row r="18" spans="1:13" s="286" customFormat="1" ht="31.5">
      <c r="A18" s="238"/>
      <c r="B18" s="238"/>
      <c r="C18" s="239">
        <v>4240</v>
      </c>
      <c r="D18" s="240" t="s">
        <v>556</v>
      </c>
      <c r="E18" s="241">
        <f t="shared" si="2"/>
        <v>1000</v>
      </c>
      <c r="F18" s="241">
        <f t="shared" si="3"/>
        <v>1000</v>
      </c>
      <c r="G18" s="241"/>
      <c r="H18" s="241"/>
      <c r="I18" s="241">
        <v>1000</v>
      </c>
      <c r="J18" s="299"/>
      <c r="K18" s="299"/>
      <c r="L18" s="298"/>
      <c r="M18" s="285"/>
    </row>
    <row r="19" spans="1:13" s="286" customFormat="1" ht="15.75">
      <c r="A19" s="238"/>
      <c r="B19" s="238"/>
      <c r="C19" s="239">
        <v>4260</v>
      </c>
      <c r="D19" s="240" t="s">
        <v>567</v>
      </c>
      <c r="E19" s="241">
        <f t="shared" si="2"/>
        <v>244200</v>
      </c>
      <c r="F19" s="241">
        <f t="shared" si="3"/>
        <v>244200</v>
      </c>
      <c r="G19" s="241"/>
      <c r="H19" s="241"/>
      <c r="I19" s="241">
        <v>244200</v>
      </c>
      <c r="J19" s="299"/>
      <c r="K19" s="299"/>
      <c r="L19" s="298"/>
      <c r="M19" s="285"/>
    </row>
    <row r="20" spans="1:13" s="286" customFormat="1" ht="15.75">
      <c r="A20" s="238"/>
      <c r="B20" s="238"/>
      <c r="C20" s="239">
        <v>4270</v>
      </c>
      <c r="D20" s="240" t="s">
        <v>507</v>
      </c>
      <c r="E20" s="241">
        <f t="shared" si="2"/>
        <v>20000</v>
      </c>
      <c r="F20" s="241">
        <f t="shared" si="3"/>
        <v>20000</v>
      </c>
      <c r="G20" s="241"/>
      <c r="H20" s="241"/>
      <c r="I20" s="241">
        <v>20000</v>
      </c>
      <c r="J20" s="300"/>
      <c r="K20" s="300"/>
      <c r="L20" s="241"/>
      <c r="M20" s="285"/>
    </row>
    <row r="21" spans="1:13" s="286" customFormat="1" ht="15.75">
      <c r="A21" s="238"/>
      <c r="B21" s="238"/>
      <c r="C21" s="239">
        <v>4280</v>
      </c>
      <c r="D21" s="240" t="s">
        <v>568</v>
      </c>
      <c r="E21" s="241">
        <f t="shared" si="2"/>
        <v>2036</v>
      </c>
      <c r="F21" s="241">
        <f t="shared" si="3"/>
        <v>2036</v>
      </c>
      <c r="G21" s="241"/>
      <c r="H21" s="241"/>
      <c r="I21" s="241">
        <v>2036</v>
      </c>
      <c r="J21" s="299"/>
      <c r="K21" s="299"/>
      <c r="L21" s="298"/>
      <c r="M21" s="285"/>
    </row>
    <row r="22" spans="1:13" s="286" customFormat="1" ht="15.75">
      <c r="A22" s="238"/>
      <c r="B22" s="238"/>
      <c r="C22" s="239">
        <v>4300</v>
      </c>
      <c r="D22" s="240" t="s">
        <v>569</v>
      </c>
      <c r="E22" s="241">
        <f t="shared" si="2"/>
        <v>18000</v>
      </c>
      <c r="F22" s="241">
        <f t="shared" si="3"/>
        <v>18000</v>
      </c>
      <c r="G22" s="241"/>
      <c r="H22" s="241"/>
      <c r="I22" s="241">
        <v>18000</v>
      </c>
      <c r="J22" s="300"/>
      <c r="K22" s="300"/>
      <c r="L22" s="241"/>
      <c r="M22" s="285"/>
    </row>
    <row r="23" spans="1:13" s="286" customFormat="1" ht="15.75">
      <c r="A23" s="238"/>
      <c r="B23" s="238"/>
      <c r="C23" s="239">
        <v>4350</v>
      </c>
      <c r="D23" s="240" t="s">
        <v>570</v>
      </c>
      <c r="E23" s="241">
        <f t="shared" si="2"/>
        <v>1400</v>
      </c>
      <c r="F23" s="241">
        <f t="shared" si="3"/>
        <v>1400</v>
      </c>
      <c r="G23" s="241"/>
      <c r="H23" s="241"/>
      <c r="I23" s="241">
        <v>1400</v>
      </c>
      <c r="J23" s="299"/>
      <c r="K23" s="299"/>
      <c r="L23" s="298"/>
      <c r="M23" s="285"/>
    </row>
    <row r="24" spans="1:13" s="286" customFormat="1" ht="31.5">
      <c r="A24" s="238"/>
      <c r="B24" s="238"/>
      <c r="C24" s="239">
        <v>4370</v>
      </c>
      <c r="D24" s="240" t="s">
        <v>716</v>
      </c>
      <c r="E24" s="241">
        <f t="shared" si="2"/>
        <v>3540</v>
      </c>
      <c r="F24" s="241">
        <f t="shared" si="3"/>
        <v>3540</v>
      </c>
      <c r="G24" s="241"/>
      <c r="H24" s="241"/>
      <c r="I24" s="241">
        <v>3540</v>
      </c>
      <c r="J24" s="299"/>
      <c r="K24" s="299"/>
      <c r="L24" s="298"/>
      <c r="M24" s="285"/>
    </row>
    <row r="25" spans="1:13" s="286" customFormat="1" ht="15.75">
      <c r="A25" s="238"/>
      <c r="B25" s="238"/>
      <c r="C25" s="239">
        <v>4410</v>
      </c>
      <c r="D25" s="240" t="s">
        <v>572</v>
      </c>
      <c r="E25" s="241">
        <f t="shared" si="2"/>
        <v>1731</v>
      </c>
      <c r="F25" s="241">
        <f t="shared" si="3"/>
        <v>1731</v>
      </c>
      <c r="G25" s="241"/>
      <c r="H25" s="241"/>
      <c r="I25" s="241">
        <v>1731</v>
      </c>
      <c r="J25" s="299"/>
      <c r="K25" s="299"/>
      <c r="L25" s="298"/>
      <c r="M25" s="285"/>
    </row>
    <row r="26" spans="1:13" s="286" customFormat="1" ht="15.75">
      <c r="A26" s="238"/>
      <c r="B26" s="238"/>
      <c r="C26" s="239">
        <v>4430</v>
      </c>
      <c r="D26" s="240" t="s">
        <v>573</v>
      </c>
      <c r="E26" s="241">
        <f t="shared" si="2"/>
        <v>1572</v>
      </c>
      <c r="F26" s="241">
        <f t="shared" si="3"/>
        <v>1572</v>
      </c>
      <c r="G26" s="241"/>
      <c r="H26" s="241"/>
      <c r="I26" s="241">
        <v>1572</v>
      </c>
      <c r="J26" s="299"/>
      <c r="K26" s="299"/>
      <c r="L26" s="298"/>
      <c r="M26" s="285"/>
    </row>
    <row r="27" spans="1:13" s="286" customFormat="1" ht="15.75" customHeight="1">
      <c r="A27" s="778" t="s">
        <v>717</v>
      </c>
      <c r="B27" s="778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285"/>
    </row>
    <row r="28" spans="1:13" s="286" customFormat="1" ht="31.5">
      <c r="A28" s="238"/>
      <c r="B28" s="238"/>
      <c r="C28" s="239">
        <v>4440</v>
      </c>
      <c r="D28" s="240" t="s">
        <v>718</v>
      </c>
      <c r="E28" s="241">
        <f>F28</f>
        <v>110618.22629999998</v>
      </c>
      <c r="F28" s="241">
        <f>I28</f>
        <v>110618.22629999998</v>
      </c>
      <c r="G28" s="241"/>
      <c r="H28" s="241"/>
      <c r="I28" s="241">
        <f>1000.04*14+2515.43*38.41</f>
        <v>110618.22629999998</v>
      </c>
      <c r="J28" s="299"/>
      <c r="K28" s="299"/>
      <c r="L28" s="298"/>
      <c r="M28" s="285"/>
    </row>
    <row r="29" spans="1:13" s="286" customFormat="1" ht="31.5">
      <c r="A29" s="238"/>
      <c r="B29" s="238"/>
      <c r="C29" s="239">
        <v>4700</v>
      </c>
      <c r="D29" s="240" t="s">
        <v>575</v>
      </c>
      <c r="E29" s="241">
        <f>F29</f>
        <v>2000</v>
      </c>
      <c r="F29" s="241">
        <f>I29</f>
        <v>2000</v>
      </c>
      <c r="G29" s="241"/>
      <c r="H29" s="241"/>
      <c r="I29" s="241">
        <v>2000</v>
      </c>
      <c r="J29" s="299"/>
      <c r="K29" s="299"/>
      <c r="L29" s="298"/>
      <c r="M29" s="285"/>
    </row>
    <row r="30" spans="1:13" s="286" customFormat="1" ht="47.25">
      <c r="A30" s="238"/>
      <c r="B30" s="238"/>
      <c r="C30" s="239">
        <v>4740</v>
      </c>
      <c r="D30" s="240" t="s">
        <v>558</v>
      </c>
      <c r="E30" s="241">
        <f>F30</f>
        <v>967</v>
      </c>
      <c r="F30" s="241">
        <f>I30</f>
        <v>967</v>
      </c>
      <c r="G30" s="241"/>
      <c r="H30" s="241"/>
      <c r="I30" s="241">
        <v>967</v>
      </c>
      <c r="J30" s="299"/>
      <c r="K30" s="299"/>
      <c r="L30" s="298"/>
      <c r="M30" s="285"/>
    </row>
    <row r="31" spans="1:13" s="286" customFormat="1" ht="31.5">
      <c r="A31" s="238"/>
      <c r="B31" s="238"/>
      <c r="C31" s="239">
        <v>4750</v>
      </c>
      <c r="D31" s="240" t="s">
        <v>576</v>
      </c>
      <c r="E31" s="241">
        <f>F31</f>
        <v>5992</v>
      </c>
      <c r="F31" s="241">
        <f>I31</f>
        <v>5992</v>
      </c>
      <c r="G31" s="241"/>
      <c r="H31" s="241"/>
      <c r="I31" s="241">
        <v>5992</v>
      </c>
      <c r="J31" s="299"/>
      <c r="K31" s="299"/>
      <c r="L31" s="298"/>
      <c r="M31" s="285"/>
    </row>
    <row r="32" spans="1:13" s="286" customFormat="1" ht="31.5">
      <c r="A32" s="238"/>
      <c r="B32" s="238"/>
      <c r="C32" s="193">
        <v>6050</v>
      </c>
      <c r="D32" s="194" t="s">
        <v>661</v>
      </c>
      <c r="E32" s="70">
        <f>L32</f>
        <v>230900</v>
      </c>
      <c r="F32" s="241"/>
      <c r="G32" s="241"/>
      <c r="H32" s="241"/>
      <c r="I32" s="298"/>
      <c r="J32" s="299"/>
      <c r="K32" s="299"/>
      <c r="L32" s="298">
        <f>'zał 11'!E47</f>
        <v>230900</v>
      </c>
      <c r="M32" s="285"/>
    </row>
    <row r="33" spans="1:12" ht="31.5">
      <c r="A33" s="236"/>
      <c r="B33" s="236">
        <v>80103</v>
      </c>
      <c r="C33" s="301"/>
      <c r="D33" s="171" t="s">
        <v>553</v>
      </c>
      <c r="E33" s="237">
        <f aca="true" t="shared" si="4" ref="E33:L33">SUM(E34:E43)</f>
        <v>163660.7935</v>
      </c>
      <c r="F33" s="237">
        <f t="shared" si="4"/>
        <v>163660.7935</v>
      </c>
      <c r="G33" s="237">
        <f t="shared" si="4"/>
        <v>132582</v>
      </c>
      <c r="H33" s="237">
        <f t="shared" si="4"/>
        <v>23387.4648</v>
      </c>
      <c r="I33" s="237">
        <f t="shared" si="4"/>
        <v>7257.328699999999</v>
      </c>
      <c r="J33" s="237">
        <f t="shared" si="4"/>
        <v>434</v>
      </c>
      <c r="K33" s="237">
        <f t="shared" si="4"/>
        <v>0</v>
      </c>
      <c r="L33" s="237">
        <f t="shared" si="4"/>
        <v>0</v>
      </c>
    </row>
    <row r="34" spans="1:12" ht="31.5">
      <c r="A34" s="238"/>
      <c r="B34" s="238"/>
      <c r="C34" s="239">
        <v>3020</v>
      </c>
      <c r="D34" s="240" t="s">
        <v>713</v>
      </c>
      <c r="E34" s="241">
        <f aca="true" t="shared" si="5" ref="E34:E43">F34</f>
        <v>434</v>
      </c>
      <c r="F34" s="241">
        <f>J34</f>
        <v>434</v>
      </c>
      <c r="G34" s="298"/>
      <c r="H34" s="298"/>
      <c r="I34" s="296"/>
      <c r="J34" s="241">
        <v>434</v>
      </c>
      <c r="K34" s="297"/>
      <c r="L34" s="296"/>
    </row>
    <row r="35" spans="1:12" ht="15.75">
      <c r="A35" s="238"/>
      <c r="B35" s="238"/>
      <c r="C35" s="239">
        <v>4010</v>
      </c>
      <c r="D35" s="240" t="s">
        <v>545</v>
      </c>
      <c r="E35" s="241">
        <f t="shared" si="5"/>
        <v>123467</v>
      </c>
      <c r="F35" s="241">
        <f>G35</f>
        <v>123467</v>
      </c>
      <c r="G35" s="241">
        <f>44782+78685</f>
        <v>123467</v>
      </c>
      <c r="H35" s="298"/>
      <c r="I35" s="298"/>
      <c r="J35" s="299"/>
      <c r="K35" s="299"/>
      <c r="L35" s="298"/>
    </row>
    <row r="36" spans="1:12" ht="15.75">
      <c r="A36" s="238"/>
      <c r="B36" s="238"/>
      <c r="C36" s="239">
        <v>4040</v>
      </c>
      <c r="D36" s="240" t="s">
        <v>562</v>
      </c>
      <c r="E36" s="241">
        <f t="shared" si="5"/>
        <v>9115</v>
      </c>
      <c r="F36" s="241">
        <f>G36</f>
        <v>9115</v>
      </c>
      <c r="G36" s="241">
        <v>9115</v>
      </c>
      <c r="H36" s="298"/>
      <c r="I36" s="298"/>
      <c r="J36" s="299"/>
      <c r="K36" s="299"/>
      <c r="L36" s="298"/>
    </row>
    <row r="37" spans="1:12" ht="15.75">
      <c r="A37" s="238"/>
      <c r="B37" s="238"/>
      <c r="C37" s="239">
        <v>4110</v>
      </c>
      <c r="D37" s="240" t="s">
        <v>563</v>
      </c>
      <c r="E37" s="241">
        <f t="shared" si="5"/>
        <v>20139.2058</v>
      </c>
      <c r="F37" s="241">
        <f>H37</f>
        <v>20139.2058</v>
      </c>
      <c r="G37" s="298">
        <v>0</v>
      </c>
      <c r="H37" s="70">
        <f>(G35+G36)*0.1519</f>
        <v>20139.2058</v>
      </c>
      <c r="I37" s="298"/>
      <c r="J37" s="299"/>
      <c r="K37" s="299"/>
      <c r="L37" s="298"/>
    </row>
    <row r="38" spans="1:12" ht="15.75">
      <c r="A38" s="238"/>
      <c r="B38" s="238"/>
      <c r="C38" s="239">
        <v>4120</v>
      </c>
      <c r="D38" s="240" t="s">
        <v>564</v>
      </c>
      <c r="E38" s="241">
        <f t="shared" si="5"/>
        <v>3248.259</v>
      </c>
      <c r="F38" s="241">
        <f>H38</f>
        <v>3248.259</v>
      </c>
      <c r="G38" s="298">
        <v>0</v>
      </c>
      <c r="H38" s="70">
        <f>(G36+G35)*0.0245</f>
        <v>3248.259</v>
      </c>
      <c r="I38" s="298"/>
      <c r="J38" s="299"/>
      <c r="K38" s="299"/>
      <c r="L38" s="298"/>
    </row>
    <row r="39" spans="1:12" ht="15.75">
      <c r="A39" s="238"/>
      <c r="B39" s="238"/>
      <c r="C39" s="302">
        <v>4210</v>
      </c>
      <c r="D39" s="194" t="s">
        <v>555</v>
      </c>
      <c r="E39" s="303">
        <f t="shared" si="5"/>
        <v>0</v>
      </c>
      <c r="F39" s="241">
        <v>0</v>
      </c>
      <c r="G39" s="298"/>
      <c r="H39" s="241"/>
      <c r="I39" s="298"/>
      <c r="J39" s="299"/>
      <c r="K39" s="299"/>
      <c r="L39" s="298"/>
    </row>
    <row r="40" spans="1:12" ht="31.5">
      <c r="A40" s="238"/>
      <c r="B40" s="238"/>
      <c r="C40" s="302">
        <v>4240</v>
      </c>
      <c r="D40" s="194" t="s">
        <v>556</v>
      </c>
      <c r="E40" s="303">
        <f t="shared" si="5"/>
        <v>0</v>
      </c>
      <c r="F40" s="303">
        <v>0</v>
      </c>
      <c r="G40" s="298"/>
      <c r="H40" s="241"/>
      <c r="I40" s="298"/>
      <c r="J40" s="299"/>
      <c r="K40" s="299"/>
      <c r="L40" s="298"/>
    </row>
    <row r="41" spans="1:12" ht="15.75">
      <c r="A41" s="238"/>
      <c r="B41" s="238"/>
      <c r="C41" s="239">
        <v>4280</v>
      </c>
      <c r="D41" s="240" t="s">
        <v>568</v>
      </c>
      <c r="E41" s="303">
        <f t="shared" si="5"/>
        <v>0</v>
      </c>
      <c r="F41" s="303">
        <v>0</v>
      </c>
      <c r="G41" s="298"/>
      <c r="H41" s="241"/>
      <c r="I41" s="298"/>
      <c r="J41" s="299"/>
      <c r="K41" s="299"/>
      <c r="L41" s="298"/>
    </row>
    <row r="42" spans="1:12" ht="31.5">
      <c r="A42" s="238"/>
      <c r="B42" s="238"/>
      <c r="C42" s="239">
        <v>4440</v>
      </c>
      <c r="D42" s="240" t="s">
        <v>718</v>
      </c>
      <c r="E42" s="241">
        <f t="shared" si="5"/>
        <v>7257.328699999999</v>
      </c>
      <c r="F42" s="241">
        <f>I42</f>
        <v>7257.328699999999</v>
      </c>
      <c r="G42" s="298"/>
      <c r="H42" s="298"/>
      <c r="I42" s="241">
        <f>1000.04*2+2515.43*2.09</f>
        <v>7257.328699999999</v>
      </c>
      <c r="J42" s="299"/>
      <c r="K42" s="299"/>
      <c r="L42" s="298"/>
    </row>
    <row r="43" spans="1:12" ht="47.25">
      <c r="A43" s="238"/>
      <c r="B43" s="238"/>
      <c r="C43" s="304">
        <v>4740</v>
      </c>
      <c r="D43" s="305" t="s">
        <v>558</v>
      </c>
      <c r="E43" s="241">
        <f t="shared" si="5"/>
        <v>0</v>
      </c>
      <c r="F43" s="241">
        <v>0</v>
      </c>
      <c r="G43" s="298"/>
      <c r="H43" s="298"/>
      <c r="I43" s="298"/>
      <c r="J43" s="299"/>
      <c r="K43" s="299"/>
      <c r="L43" s="298"/>
    </row>
    <row r="44" spans="1:12" ht="31.5">
      <c r="A44" s="171"/>
      <c r="B44" s="236">
        <v>80146</v>
      </c>
      <c r="C44" s="301"/>
      <c r="D44" s="171" t="s">
        <v>584</v>
      </c>
      <c r="E44" s="237">
        <f aca="true" t="shared" si="6" ref="E44:L44">SUM(E45:E49)</f>
        <v>7400</v>
      </c>
      <c r="F44" s="237">
        <f t="shared" si="6"/>
        <v>7400</v>
      </c>
      <c r="G44" s="237">
        <f t="shared" si="6"/>
        <v>0</v>
      </c>
      <c r="H44" s="237">
        <f t="shared" si="6"/>
        <v>0</v>
      </c>
      <c r="I44" s="237">
        <f t="shared" si="6"/>
        <v>0</v>
      </c>
      <c r="J44" s="237">
        <f t="shared" si="6"/>
        <v>0</v>
      </c>
      <c r="K44" s="237">
        <f t="shared" si="6"/>
        <v>0</v>
      </c>
      <c r="L44" s="237">
        <f t="shared" si="6"/>
        <v>0</v>
      </c>
    </row>
    <row r="45" spans="1:12" ht="15.75">
      <c r="A45" s="171"/>
      <c r="B45" s="236"/>
      <c r="C45" s="193">
        <v>4210</v>
      </c>
      <c r="D45" s="194" t="s">
        <v>555</v>
      </c>
      <c r="E45" s="306">
        <f>F45</f>
        <v>0</v>
      </c>
      <c r="F45" s="306">
        <v>0</v>
      </c>
      <c r="G45" s="237"/>
      <c r="H45" s="237"/>
      <c r="I45" s="237"/>
      <c r="J45" s="237"/>
      <c r="K45" s="237"/>
      <c r="L45" s="237"/>
    </row>
    <row r="46" spans="1:12" ht="31.5">
      <c r="A46" s="238"/>
      <c r="B46" s="238"/>
      <c r="C46" s="239">
        <v>4240</v>
      </c>
      <c r="D46" s="240" t="s">
        <v>556</v>
      </c>
      <c r="E46" s="241">
        <f>F46</f>
        <v>0</v>
      </c>
      <c r="F46" s="241">
        <f>I46</f>
        <v>0</v>
      </c>
      <c r="G46" s="241"/>
      <c r="H46" s="241"/>
      <c r="I46" s="241"/>
      <c r="J46" s="299"/>
      <c r="K46" s="299"/>
      <c r="L46" s="298"/>
    </row>
    <row r="47" spans="1:12" ht="15.75">
      <c r="A47" s="238"/>
      <c r="B47" s="238"/>
      <c r="C47" s="239">
        <v>4300</v>
      </c>
      <c r="D47" s="240" t="s">
        <v>569</v>
      </c>
      <c r="E47" s="241">
        <f>F47</f>
        <v>2000</v>
      </c>
      <c r="F47" s="241">
        <v>2000</v>
      </c>
      <c r="G47" s="241"/>
      <c r="H47" s="241"/>
      <c r="I47" s="241"/>
      <c r="J47" s="300"/>
      <c r="K47" s="300"/>
      <c r="L47" s="241"/>
    </row>
    <row r="48" spans="1:12" ht="15.75">
      <c r="A48" s="238"/>
      <c r="B48" s="238"/>
      <c r="C48" s="239">
        <v>4410</v>
      </c>
      <c r="D48" s="240" t="s">
        <v>572</v>
      </c>
      <c r="E48" s="241">
        <f>F48</f>
        <v>3200</v>
      </c>
      <c r="F48" s="241">
        <v>3200</v>
      </c>
      <c r="G48" s="241"/>
      <c r="H48" s="241"/>
      <c r="I48" s="241"/>
      <c r="J48" s="299"/>
      <c r="K48" s="299"/>
      <c r="L48" s="298"/>
    </row>
    <row r="49" spans="1:12" ht="31.5">
      <c r="A49" s="238"/>
      <c r="B49" s="238"/>
      <c r="C49" s="239">
        <v>4700</v>
      </c>
      <c r="D49" s="240" t="s">
        <v>575</v>
      </c>
      <c r="E49" s="241">
        <f>F49</f>
        <v>2200</v>
      </c>
      <c r="F49" s="241">
        <v>2200</v>
      </c>
      <c r="G49" s="241"/>
      <c r="H49" s="241"/>
      <c r="I49" s="241"/>
      <c r="J49" s="299"/>
      <c r="K49" s="299"/>
      <c r="L49" s="298"/>
    </row>
    <row r="50" spans="1:12" ht="15.75" customHeight="1">
      <c r="A50" s="778" t="s">
        <v>717</v>
      </c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</row>
    <row r="51" spans="1:12" ht="15.75">
      <c r="A51" s="171"/>
      <c r="B51" s="307">
        <v>80148</v>
      </c>
      <c r="C51" s="308"/>
      <c r="D51" s="309" t="s">
        <v>410</v>
      </c>
      <c r="E51" s="246">
        <f aca="true" t="shared" si="7" ref="E51:L51">SUM(E52:E66)</f>
        <v>281007.3012</v>
      </c>
      <c r="F51" s="246">
        <f t="shared" si="7"/>
        <v>281007.3012</v>
      </c>
      <c r="G51" s="246">
        <f t="shared" si="7"/>
        <v>120733</v>
      </c>
      <c r="H51" s="246">
        <f t="shared" si="7"/>
        <v>21297.3012</v>
      </c>
      <c r="I51" s="246">
        <f t="shared" si="7"/>
        <v>0</v>
      </c>
      <c r="J51" s="246">
        <f t="shared" si="7"/>
        <v>1500</v>
      </c>
      <c r="K51" s="246">
        <f t="shared" si="7"/>
        <v>0</v>
      </c>
      <c r="L51" s="246">
        <f t="shared" si="7"/>
        <v>0</v>
      </c>
    </row>
    <row r="52" spans="1:12" ht="31.5">
      <c r="A52" s="238"/>
      <c r="B52" s="238"/>
      <c r="C52" s="239">
        <v>3020</v>
      </c>
      <c r="D52" s="240" t="s">
        <v>713</v>
      </c>
      <c r="E52" s="241">
        <f aca="true" t="shared" si="8" ref="E52:E65">F52</f>
        <v>1500</v>
      </c>
      <c r="F52" s="241">
        <f>J52</f>
        <v>1500</v>
      </c>
      <c r="G52" s="241"/>
      <c r="H52" s="241"/>
      <c r="I52" s="296"/>
      <c r="J52" s="241">
        <v>1500</v>
      </c>
      <c r="K52" s="297"/>
      <c r="L52" s="296"/>
    </row>
    <row r="53" spans="1:12" ht="15.75">
      <c r="A53" s="238"/>
      <c r="B53" s="238"/>
      <c r="C53" s="239">
        <v>4010</v>
      </c>
      <c r="D53" s="240" t="s">
        <v>545</v>
      </c>
      <c r="E53" s="241">
        <f t="shared" si="8"/>
        <v>111913</v>
      </c>
      <c r="F53" s="241">
        <f>G53</f>
        <v>111913</v>
      </c>
      <c r="G53" s="241">
        <f>110805+1108</f>
        <v>111913</v>
      </c>
      <c r="H53" s="241"/>
      <c r="I53" s="298"/>
      <c r="J53" s="299"/>
      <c r="K53" s="299"/>
      <c r="L53" s="298"/>
    </row>
    <row r="54" spans="1:12" ht="15.75">
      <c r="A54" s="238"/>
      <c r="B54" s="238"/>
      <c r="C54" s="239">
        <v>4040</v>
      </c>
      <c r="D54" s="240" t="s">
        <v>562</v>
      </c>
      <c r="E54" s="241">
        <f t="shared" si="8"/>
        <v>8820</v>
      </c>
      <c r="F54" s="241">
        <f>G54</f>
        <v>8820</v>
      </c>
      <c r="G54" s="241">
        <v>8820</v>
      </c>
      <c r="H54" s="241"/>
      <c r="I54" s="298"/>
      <c r="J54" s="299"/>
      <c r="K54" s="299"/>
      <c r="L54" s="298"/>
    </row>
    <row r="55" spans="1:12" ht="15.75">
      <c r="A55" s="238"/>
      <c r="B55" s="238"/>
      <c r="C55" s="239">
        <v>4110</v>
      </c>
      <c r="D55" s="240" t="s">
        <v>563</v>
      </c>
      <c r="E55" s="241">
        <f t="shared" si="8"/>
        <v>18339.3427</v>
      </c>
      <c r="F55" s="241">
        <f>H55</f>
        <v>18339.3427</v>
      </c>
      <c r="G55" s="241">
        <v>0</v>
      </c>
      <c r="H55" s="70">
        <f>(G53+G54)*0.1519</f>
        <v>18339.3427</v>
      </c>
      <c r="I55" s="298"/>
      <c r="J55" s="299"/>
      <c r="K55" s="299"/>
      <c r="L55" s="298"/>
    </row>
    <row r="56" spans="1:12" ht="15.75">
      <c r="A56" s="238"/>
      <c r="B56" s="238"/>
      <c r="C56" s="239">
        <v>4120</v>
      </c>
      <c r="D56" s="240" t="s">
        <v>564</v>
      </c>
      <c r="E56" s="241">
        <f t="shared" si="8"/>
        <v>2957.9585</v>
      </c>
      <c r="F56" s="241">
        <f>H56</f>
        <v>2957.9585</v>
      </c>
      <c r="G56" s="241">
        <v>0</v>
      </c>
      <c r="H56" s="70">
        <f>(G54+G53)*0.0245</f>
        <v>2957.9585</v>
      </c>
      <c r="I56" s="298"/>
      <c r="J56" s="299"/>
      <c r="K56" s="299"/>
      <c r="L56" s="298"/>
    </row>
    <row r="57" spans="1:12" ht="15.75">
      <c r="A57" s="238"/>
      <c r="B57" s="238"/>
      <c r="C57" s="239">
        <v>4210</v>
      </c>
      <c r="D57" s="240" t="s">
        <v>555</v>
      </c>
      <c r="E57" s="241">
        <f t="shared" si="8"/>
        <v>8653</v>
      </c>
      <c r="F57" s="241">
        <v>8653</v>
      </c>
      <c r="G57" s="241"/>
      <c r="H57" s="241"/>
      <c r="I57" s="241"/>
      <c r="J57" s="299"/>
      <c r="K57" s="299"/>
      <c r="L57" s="298"/>
    </row>
    <row r="58" spans="1:12" ht="15.75">
      <c r="A58" s="238"/>
      <c r="B58" s="238"/>
      <c r="C58" s="239">
        <v>4220</v>
      </c>
      <c r="D58" s="240" t="s">
        <v>566</v>
      </c>
      <c r="E58" s="241">
        <f t="shared" si="8"/>
        <v>123840</v>
      </c>
      <c r="F58" s="241">
        <v>123840</v>
      </c>
      <c r="G58" s="241"/>
      <c r="H58" s="241"/>
      <c r="I58" s="241"/>
      <c r="J58" s="299"/>
      <c r="K58" s="299"/>
      <c r="L58" s="298"/>
    </row>
    <row r="59" spans="1:12" ht="15.75">
      <c r="A59" s="238"/>
      <c r="B59" s="238"/>
      <c r="C59" s="239">
        <v>4270</v>
      </c>
      <c r="D59" s="240" t="s">
        <v>507</v>
      </c>
      <c r="E59" s="241">
        <f t="shared" si="8"/>
        <v>500</v>
      </c>
      <c r="F59" s="241">
        <v>500</v>
      </c>
      <c r="G59" s="241"/>
      <c r="H59" s="241"/>
      <c r="I59" s="241"/>
      <c r="J59" s="300"/>
      <c r="K59" s="300"/>
      <c r="L59" s="241"/>
    </row>
    <row r="60" spans="1:12" ht="15.75">
      <c r="A60" s="238"/>
      <c r="B60" s="238"/>
      <c r="C60" s="239">
        <v>4280</v>
      </c>
      <c r="D60" s="240" t="s">
        <v>568</v>
      </c>
      <c r="E60" s="241">
        <f t="shared" si="8"/>
        <v>200</v>
      </c>
      <c r="F60" s="241">
        <v>200</v>
      </c>
      <c r="G60" s="241"/>
      <c r="H60" s="241"/>
      <c r="I60" s="241"/>
      <c r="J60" s="299"/>
      <c r="K60" s="299"/>
      <c r="L60" s="298"/>
    </row>
    <row r="61" spans="1:12" ht="15.75">
      <c r="A61" s="238"/>
      <c r="B61" s="238"/>
      <c r="C61" s="239">
        <v>4300</v>
      </c>
      <c r="D61" s="240" t="s">
        <v>569</v>
      </c>
      <c r="E61" s="241">
        <f t="shared" si="8"/>
        <v>110</v>
      </c>
      <c r="F61" s="241">
        <v>110</v>
      </c>
      <c r="G61" s="241"/>
      <c r="H61" s="241"/>
      <c r="I61" s="241"/>
      <c r="J61" s="300"/>
      <c r="K61" s="300"/>
      <c r="L61" s="241"/>
    </row>
    <row r="62" spans="1:12" ht="31.5">
      <c r="A62" s="238"/>
      <c r="B62" s="238"/>
      <c r="C62" s="239">
        <v>4440</v>
      </c>
      <c r="D62" s="240" t="s">
        <v>718</v>
      </c>
      <c r="E62" s="241">
        <f t="shared" si="8"/>
        <v>4072</v>
      </c>
      <c r="F62" s="241">
        <v>4072</v>
      </c>
      <c r="G62" s="241"/>
      <c r="H62" s="241"/>
      <c r="I62" s="241"/>
      <c r="J62" s="299"/>
      <c r="K62" s="299"/>
      <c r="L62" s="298"/>
    </row>
    <row r="63" spans="1:12" ht="31.5">
      <c r="A63" s="238"/>
      <c r="B63" s="238"/>
      <c r="C63" s="180">
        <v>4700</v>
      </c>
      <c r="D63" s="181" t="s">
        <v>575</v>
      </c>
      <c r="E63" s="96">
        <f t="shared" si="8"/>
        <v>0</v>
      </c>
      <c r="F63" s="96"/>
      <c r="G63" s="241"/>
      <c r="H63" s="241"/>
      <c r="I63" s="241"/>
      <c r="J63" s="299"/>
      <c r="K63" s="299"/>
      <c r="L63" s="298"/>
    </row>
    <row r="64" spans="1:12" ht="47.25">
      <c r="A64" s="238"/>
      <c r="B64" s="238"/>
      <c r="C64" s="239">
        <v>4740</v>
      </c>
      <c r="D64" s="240" t="s">
        <v>558</v>
      </c>
      <c r="E64" s="241">
        <f t="shared" si="8"/>
        <v>102</v>
      </c>
      <c r="F64" s="241">
        <v>102</v>
      </c>
      <c r="G64" s="241"/>
      <c r="H64" s="241"/>
      <c r="I64" s="241"/>
      <c r="J64" s="299"/>
      <c r="K64" s="299"/>
      <c r="L64" s="298"/>
    </row>
    <row r="65" spans="1:12" ht="31.5">
      <c r="A65" s="238"/>
      <c r="B65" s="238"/>
      <c r="C65" s="239">
        <v>4750</v>
      </c>
      <c r="D65" s="240" t="s">
        <v>576</v>
      </c>
      <c r="E65" s="241">
        <f t="shared" si="8"/>
        <v>0</v>
      </c>
      <c r="F65" s="241">
        <f>I65</f>
        <v>0</v>
      </c>
      <c r="G65" s="241"/>
      <c r="H65" s="241"/>
      <c r="I65" s="241"/>
      <c r="J65" s="299"/>
      <c r="K65" s="299"/>
      <c r="L65" s="298"/>
    </row>
    <row r="66" spans="1:12" ht="15.75">
      <c r="A66" s="238"/>
      <c r="B66" s="238"/>
      <c r="C66" s="310">
        <v>6060</v>
      </c>
      <c r="D66" s="240" t="s">
        <v>719</v>
      </c>
      <c r="E66" s="241">
        <f>L66</f>
        <v>0</v>
      </c>
      <c r="F66" s="241"/>
      <c r="G66" s="241"/>
      <c r="H66" s="241"/>
      <c r="I66" s="298"/>
      <c r="J66" s="299"/>
      <c r="K66" s="299"/>
      <c r="L66" s="298">
        <v>0</v>
      </c>
    </row>
    <row r="67" spans="1:12" ht="15.75">
      <c r="A67" s="236"/>
      <c r="B67" s="236">
        <v>80195</v>
      </c>
      <c r="C67" s="301"/>
      <c r="D67" s="171" t="s">
        <v>306</v>
      </c>
      <c r="E67" s="237">
        <f aca="true" t="shared" si="9" ref="E67:L67">SUM(E68:E68)</f>
        <v>42222.05963625</v>
      </c>
      <c r="F67" s="237">
        <f t="shared" si="9"/>
        <v>42222.05963625</v>
      </c>
      <c r="G67" s="237">
        <f t="shared" si="9"/>
        <v>0</v>
      </c>
      <c r="H67" s="237">
        <f t="shared" si="9"/>
        <v>0</v>
      </c>
      <c r="I67" s="237">
        <f t="shared" si="9"/>
        <v>0</v>
      </c>
      <c r="J67" s="237">
        <f t="shared" si="9"/>
        <v>0</v>
      </c>
      <c r="K67" s="237">
        <f t="shared" si="9"/>
        <v>0</v>
      </c>
      <c r="L67" s="237">
        <f t="shared" si="9"/>
        <v>0</v>
      </c>
    </row>
    <row r="68" spans="1:12" ht="31.5">
      <c r="A68" s="238"/>
      <c r="B68" s="238"/>
      <c r="C68" s="239">
        <v>4440</v>
      </c>
      <c r="D68" s="240" t="s">
        <v>718</v>
      </c>
      <c r="E68" s="241">
        <f>F68</f>
        <v>42222.05963625</v>
      </c>
      <c r="F68" s="241">
        <f>(13*2666.77*0.0625+41*958.75)*1.018</f>
        <v>42222.05963625</v>
      </c>
      <c r="G68" s="241"/>
      <c r="H68" s="241"/>
      <c r="I68" s="241"/>
      <c r="J68" s="299"/>
      <c r="K68" s="299"/>
      <c r="L68" s="298"/>
    </row>
  </sheetData>
  <mergeCells count="14">
    <mergeCell ref="G5:K5"/>
    <mergeCell ref="L5:L6"/>
    <mergeCell ref="A27:L27"/>
    <mergeCell ref="A50:L50"/>
    <mergeCell ref="A1:L1"/>
    <mergeCell ref="A2:L2"/>
    <mergeCell ref="A3:D3"/>
    <mergeCell ref="A4:A6"/>
    <mergeCell ref="B4:B6"/>
    <mergeCell ref="C4:C6"/>
    <mergeCell ref="D4:D6"/>
    <mergeCell ref="E4:E6"/>
    <mergeCell ref="F4:L4"/>
    <mergeCell ref="F5:F6"/>
  </mergeCells>
  <printOptions/>
  <pageMargins left="0.5902777777777778" right="0.5902777777777778" top="0.5902777777777778" bottom="0.46319444444444446" header="0.5118055555555556" footer="0.2965277777777778"/>
  <pageSetup horizontalDpi="300" verticalDpi="300" orientation="landscape" paperSize="9" scale="96" r:id="rId1"/>
  <headerFooter alignWithMargins="0">
    <oddFooter>&amp;C&amp;"Times New Roman,Normalny"&amp;12Strona &amp;P z &amp;N</oddFooter>
  </headerFooter>
  <rowBreaks count="2" manualBreakCount="2">
    <brk id="26" max="255" man="1"/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showGridLines="0" defaultGridColor="0" view="pageBreakPreview" zoomScale="90" zoomScaleSheetLayoutView="90" colorId="15" workbookViewId="0" topLeftCell="A1">
      <selection activeCell="N8" sqref="N8"/>
    </sheetView>
  </sheetViews>
  <sheetFormatPr defaultColWidth="9.00390625" defaultRowHeight="12.75"/>
  <cols>
    <col min="1" max="1" width="6.25390625" style="116" customWidth="1"/>
    <col min="2" max="2" width="7.25390625" style="116" customWidth="1"/>
    <col min="3" max="3" width="6.25390625" style="116" customWidth="1"/>
    <col min="4" max="4" width="50.25390625" style="117" customWidth="1"/>
    <col min="5" max="7" width="13.375" style="116" customWidth="1"/>
    <col min="8" max="8" width="11.75390625" style="116" customWidth="1"/>
    <col min="9" max="9" width="10.75390625" style="116" customWidth="1"/>
    <col min="10" max="10" width="6.75390625" style="116" customWidth="1"/>
    <col min="11" max="11" width="7.25390625" style="116" customWidth="1"/>
    <col min="12" max="12" width="11.75390625" style="116" customWidth="1"/>
    <col min="13" max="16384" width="9.00390625" style="116" customWidth="1"/>
  </cols>
  <sheetData>
    <row r="1" spans="1:12" ht="15" customHeight="1">
      <c r="A1" s="779" t="s">
        <v>720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</row>
    <row r="2" spans="1:12" ht="35.25" customHeight="1">
      <c r="A2" s="759" t="s">
        <v>461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</row>
    <row r="3" spans="1:12" ht="15" customHeight="1">
      <c r="A3" s="780"/>
      <c r="B3" s="780"/>
      <c r="C3" s="780"/>
      <c r="D3" s="780"/>
      <c r="E3" s="311"/>
      <c r="F3" s="311"/>
      <c r="G3" s="311"/>
      <c r="H3" s="311"/>
      <c r="I3" s="312"/>
      <c r="J3" s="313"/>
      <c r="K3" s="313"/>
      <c r="L3"/>
    </row>
    <row r="4" spans="1:12" ht="15.75">
      <c r="A4" s="116" t="s">
        <v>693</v>
      </c>
      <c r="K4" s="314"/>
      <c r="L4" s="315" t="s">
        <v>274</v>
      </c>
    </row>
    <row r="5" spans="1:12" s="317" customFormat="1" ht="13.5" customHeight="1">
      <c r="A5" s="781" t="s">
        <v>275</v>
      </c>
      <c r="B5" s="781" t="s">
        <v>296</v>
      </c>
      <c r="C5" s="782" t="s">
        <v>297</v>
      </c>
      <c r="D5" s="781" t="s">
        <v>711</v>
      </c>
      <c r="E5" s="781" t="s">
        <v>463</v>
      </c>
      <c r="F5" s="783" t="s">
        <v>300</v>
      </c>
      <c r="G5" s="783"/>
      <c r="H5" s="783"/>
      <c r="I5" s="783"/>
      <c r="J5" s="783"/>
      <c r="K5" s="783"/>
      <c r="L5" s="783"/>
    </row>
    <row r="6" spans="1:12" s="317" customFormat="1" ht="12.75" customHeight="1">
      <c r="A6" s="781"/>
      <c r="B6" s="781"/>
      <c r="C6" s="782"/>
      <c r="D6" s="781"/>
      <c r="E6" s="781"/>
      <c r="F6" s="781" t="s">
        <v>636</v>
      </c>
      <c r="G6" s="784" t="s">
        <v>216</v>
      </c>
      <c r="H6" s="784"/>
      <c r="I6" s="784"/>
      <c r="J6" s="784"/>
      <c r="K6" s="784"/>
      <c r="L6" s="781" t="s">
        <v>465</v>
      </c>
    </row>
    <row r="7" spans="1:12" s="317" customFormat="1" ht="84">
      <c r="A7" s="781"/>
      <c r="B7" s="781"/>
      <c r="C7" s="782"/>
      <c r="D7" s="781"/>
      <c r="E7" s="781"/>
      <c r="F7" s="781"/>
      <c r="G7" s="316" t="s">
        <v>472</v>
      </c>
      <c r="H7" s="316" t="s">
        <v>721</v>
      </c>
      <c r="I7" s="200" t="s">
        <v>474</v>
      </c>
      <c r="J7" s="318" t="s">
        <v>468</v>
      </c>
      <c r="K7" s="316" t="s">
        <v>722</v>
      </c>
      <c r="L7" s="781"/>
    </row>
    <row r="8" spans="1:12" s="317" customFormat="1" ht="15.75">
      <c r="A8" s="319">
        <v>1</v>
      </c>
      <c r="B8" s="319">
        <v>2</v>
      </c>
      <c r="C8" s="319">
        <v>3</v>
      </c>
      <c r="D8" s="320">
        <v>4</v>
      </c>
      <c r="E8" s="319">
        <v>5</v>
      </c>
      <c r="F8" s="319">
        <v>6</v>
      </c>
      <c r="G8" s="319">
        <v>7</v>
      </c>
      <c r="H8" s="319">
        <v>8</v>
      </c>
      <c r="I8" s="319">
        <v>9</v>
      </c>
      <c r="J8" s="319">
        <v>10</v>
      </c>
      <c r="K8" s="319">
        <v>11</v>
      </c>
      <c r="L8" s="319">
        <v>12</v>
      </c>
    </row>
    <row r="9" spans="1:12" ht="15.75">
      <c r="A9" s="63">
        <v>801</v>
      </c>
      <c r="B9" s="63"/>
      <c r="C9" s="63"/>
      <c r="D9" s="64" t="s">
        <v>399</v>
      </c>
      <c r="E9" s="55">
        <f aca="true" t="shared" si="0" ref="E9:L9">E10+E34+E45+E51</f>
        <v>3458945.7581987507</v>
      </c>
      <c r="F9" s="55">
        <f t="shared" si="0"/>
        <v>3228045.7581987507</v>
      </c>
      <c r="G9" s="55">
        <f t="shared" si="0"/>
        <v>2420299</v>
      </c>
      <c r="H9" s="55">
        <f t="shared" si="0"/>
        <v>426940.5112</v>
      </c>
      <c r="I9" s="55">
        <f t="shared" si="0"/>
        <v>351029.39180999994</v>
      </c>
      <c r="J9" s="55">
        <f t="shared" si="0"/>
        <v>9045</v>
      </c>
      <c r="K9" s="55">
        <f t="shared" si="0"/>
        <v>0</v>
      </c>
      <c r="L9" s="55">
        <f t="shared" si="0"/>
        <v>230900</v>
      </c>
    </row>
    <row r="10" spans="1:12" ht="15.75">
      <c r="A10" s="65"/>
      <c r="B10" s="65">
        <v>80101</v>
      </c>
      <c r="C10" s="65"/>
      <c r="D10" s="66" t="s">
        <v>400</v>
      </c>
      <c r="E10" s="58">
        <f aca="true" t="shared" si="1" ref="E10:L10">SUM(E11:E32)</f>
        <v>3337365.4330100003</v>
      </c>
      <c r="F10" s="58">
        <f t="shared" si="1"/>
        <v>3106465.4330100003</v>
      </c>
      <c r="G10" s="58">
        <f t="shared" si="1"/>
        <v>2350258</v>
      </c>
      <c r="H10" s="58">
        <f t="shared" si="1"/>
        <v>414585.5112</v>
      </c>
      <c r="I10" s="58">
        <f t="shared" si="1"/>
        <v>332819.92180999997</v>
      </c>
      <c r="J10" s="58">
        <f t="shared" si="1"/>
        <v>8802</v>
      </c>
      <c r="K10" s="58">
        <f t="shared" si="1"/>
        <v>0</v>
      </c>
      <c r="L10" s="58">
        <f t="shared" si="1"/>
        <v>230900</v>
      </c>
    </row>
    <row r="11" spans="1:12" ht="15.75">
      <c r="A11" s="65"/>
      <c r="B11" s="65"/>
      <c r="C11" s="67">
        <v>3020</v>
      </c>
      <c r="D11" s="1" t="s">
        <v>561</v>
      </c>
      <c r="E11" s="61">
        <f>F11</f>
        <v>8802</v>
      </c>
      <c r="F11" s="61">
        <f>J11</f>
        <v>8802</v>
      </c>
      <c r="G11" s="61"/>
      <c r="H11" s="61"/>
      <c r="I11" s="61"/>
      <c r="J11" s="61">
        <v>8802</v>
      </c>
      <c r="K11" s="61"/>
      <c r="L11" s="61"/>
    </row>
    <row r="12" spans="1:12" ht="15.75">
      <c r="A12" s="67"/>
      <c r="B12" s="67"/>
      <c r="C12" s="67">
        <v>3240</v>
      </c>
      <c r="D12" s="1" t="s">
        <v>723</v>
      </c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67"/>
      <c r="B13" s="67"/>
      <c r="C13" s="67">
        <v>4010</v>
      </c>
      <c r="D13" s="1" t="s">
        <v>545</v>
      </c>
      <c r="E13" s="61">
        <f>F13</f>
        <v>2186020</v>
      </c>
      <c r="F13" s="61">
        <f>G13</f>
        <v>2186020</v>
      </c>
      <c r="G13" s="61">
        <v>2186020</v>
      </c>
      <c r="H13" s="61"/>
      <c r="I13" s="61"/>
      <c r="J13" s="61"/>
      <c r="K13" s="61"/>
      <c r="L13" s="61"/>
    </row>
    <row r="14" spans="1:12" ht="15.75">
      <c r="A14" s="67"/>
      <c r="B14" s="67"/>
      <c r="C14" s="67">
        <v>4040</v>
      </c>
      <c r="D14" s="1" t="s">
        <v>562</v>
      </c>
      <c r="E14" s="61">
        <f>F14</f>
        <v>164238</v>
      </c>
      <c r="F14" s="61">
        <f>G14</f>
        <v>164238</v>
      </c>
      <c r="G14" s="61">
        <v>164238</v>
      </c>
      <c r="H14" s="61"/>
      <c r="I14" s="61"/>
      <c r="J14" s="61"/>
      <c r="K14" s="61"/>
      <c r="L14" s="61"/>
    </row>
    <row r="15" spans="1:12" ht="15.75">
      <c r="A15" s="67"/>
      <c r="B15" s="67"/>
      <c r="C15" s="67">
        <v>4110</v>
      </c>
      <c r="D15" s="1" t="s">
        <v>563</v>
      </c>
      <c r="E15" s="61">
        <f>F15</f>
        <v>357004.1902</v>
      </c>
      <c r="F15" s="61">
        <f>H15</f>
        <v>357004.1902</v>
      </c>
      <c r="G15" s="61"/>
      <c r="H15" s="61">
        <f>(G13+G14)*0.1519</f>
        <v>357004.1902</v>
      </c>
      <c r="I15" s="61"/>
      <c r="J15" s="61"/>
      <c r="K15" s="61"/>
      <c r="L15" s="61"/>
    </row>
    <row r="16" spans="1:12" ht="15.75">
      <c r="A16" s="67"/>
      <c r="B16" s="67"/>
      <c r="C16" s="67">
        <v>4120</v>
      </c>
      <c r="D16" s="1" t="s">
        <v>564</v>
      </c>
      <c r="E16" s="61">
        <f>F16</f>
        <v>57581.321</v>
      </c>
      <c r="F16" s="61">
        <f>H16</f>
        <v>57581.321</v>
      </c>
      <c r="G16" s="61"/>
      <c r="H16" s="61">
        <f>(G14+G13)*0.0245</f>
        <v>57581.321</v>
      </c>
      <c r="I16" s="61"/>
      <c r="J16" s="61"/>
      <c r="K16" s="61"/>
      <c r="L16" s="61"/>
    </row>
    <row r="17" spans="1:12" ht="15.75">
      <c r="A17" s="67"/>
      <c r="B17" s="67"/>
      <c r="C17" s="67">
        <v>4170</v>
      </c>
      <c r="D17" s="1" t="s">
        <v>565</v>
      </c>
      <c r="E17" s="61"/>
      <c r="F17" s="61"/>
      <c r="G17" s="61"/>
      <c r="H17" s="61"/>
      <c r="I17" s="61"/>
      <c r="J17" s="61"/>
      <c r="K17" s="61"/>
      <c r="L17" s="61"/>
    </row>
    <row r="18" spans="1:12" ht="15.75">
      <c r="A18" s="67"/>
      <c r="B18" s="67"/>
      <c r="C18" s="67">
        <v>4210</v>
      </c>
      <c r="D18" s="1" t="s">
        <v>555</v>
      </c>
      <c r="E18" s="61">
        <f aca="true" t="shared" si="2" ref="E18:E31">F18</f>
        <v>18000</v>
      </c>
      <c r="F18" s="61">
        <f aca="true" t="shared" si="3" ref="F18:F31">I18</f>
        <v>18000</v>
      </c>
      <c r="G18" s="61"/>
      <c r="H18" s="61"/>
      <c r="I18" s="61">
        <v>18000</v>
      </c>
      <c r="J18" s="61"/>
      <c r="K18" s="61"/>
      <c r="L18" s="61"/>
    </row>
    <row r="19" spans="1:12" ht="15.75">
      <c r="A19" s="67"/>
      <c r="B19" s="67"/>
      <c r="C19" s="67">
        <v>4240</v>
      </c>
      <c r="D19" s="1" t="s">
        <v>556</v>
      </c>
      <c r="E19" s="61">
        <f t="shared" si="2"/>
        <v>10000</v>
      </c>
      <c r="F19" s="61">
        <f t="shared" si="3"/>
        <v>10000</v>
      </c>
      <c r="G19" s="61"/>
      <c r="H19" s="61"/>
      <c r="I19" s="61">
        <v>10000</v>
      </c>
      <c r="J19" s="61"/>
      <c r="K19" s="61"/>
      <c r="L19" s="61"/>
    </row>
    <row r="20" spans="1:12" ht="15.75">
      <c r="A20" s="67"/>
      <c r="B20" s="67"/>
      <c r="C20" s="67">
        <v>4260</v>
      </c>
      <c r="D20" s="1" t="s">
        <v>567</v>
      </c>
      <c r="E20" s="61">
        <f t="shared" si="2"/>
        <v>123000</v>
      </c>
      <c r="F20" s="61">
        <f t="shared" si="3"/>
        <v>123000</v>
      </c>
      <c r="G20" s="61"/>
      <c r="H20" s="61"/>
      <c r="I20" s="61">
        <v>123000</v>
      </c>
      <c r="J20" s="61"/>
      <c r="K20" s="61"/>
      <c r="L20" s="61"/>
    </row>
    <row r="21" spans="1:12" ht="15.75">
      <c r="A21" s="67"/>
      <c r="B21" s="67"/>
      <c r="C21" s="67">
        <v>4270</v>
      </c>
      <c r="D21" s="1" t="s">
        <v>507</v>
      </c>
      <c r="E21" s="61">
        <f t="shared" si="2"/>
        <v>15000</v>
      </c>
      <c r="F21" s="61">
        <f t="shared" si="3"/>
        <v>15000</v>
      </c>
      <c r="G21" s="61"/>
      <c r="H21" s="61"/>
      <c r="I21" s="61">
        <v>15000</v>
      </c>
      <c r="J21" s="61"/>
      <c r="K21" s="61"/>
      <c r="L21" s="61"/>
    </row>
    <row r="22" spans="1:12" ht="15.75">
      <c r="A22" s="67"/>
      <c r="B22" s="67"/>
      <c r="C22" s="67">
        <v>4280</v>
      </c>
      <c r="D22" s="1" t="s">
        <v>568</v>
      </c>
      <c r="E22" s="61">
        <f t="shared" si="2"/>
        <v>3500</v>
      </c>
      <c r="F22" s="61">
        <f t="shared" si="3"/>
        <v>3500</v>
      </c>
      <c r="G22" s="61"/>
      <c r="H22" s="61"/>
      <c r="I22" s="61">
        <v>3500</v>
      </c>
      <c r="J22" s="61"/>
      <c r="K22" s="61"/>
      <c r="L22" s="61"/>
    </row>
    <row r="23" spans="1:12" ht="15.75">
      <c r="A23" s="67"/>
      <c r="B23" s="67"/>
      <c r="C23" s="67">
        <v>4300</v>
      </c>
      <c r="D23" s="1" t="s">
        <v>569</v>
      </c>
      <c r="E23" s="61">
        <f t="shared" si="2"/>
        <v>40942</v>
      </c>
      <c r="F23" s="61">
        <f t="shared" si="3"/>
        <v>40942</v>
      </c>
      <c r="G23" s="61"/>
      <c r="H23" s="61"/>
      <c r="I23" s="61">
        <f>53095-10000-2153</f>
        <v>40942</v>
      </c>
      <c r="J23" s="61"/>
      <c r="K23" s="61"/>
      <c r="L23" s="61"/>
    </row>
    <row r="24" spans="1:12" ht="15.75">
      <c r="A24" s="67"/>
      <c r="B24" s="67"/>
      <c r="C24" s="67">
        <v>4350</v>
      </c>
      <c r="D24" s="1" t="s">
        <v>570</v>
      </c>
      <c r="E24" s="61">
        <f t="shared" si="2"/>
        <v>355</v>
      </c>
      <c r="F24" s="61">
        <f t="shared" si="3"/>
        <v>355</v>
      </c>
      <c r="G24" s="61"/>
      <c r="H24" s="61"/>
      <c r="I24" s="61">
        <v>355</v>
      </c>
      <c r="J24" s="61"/>
      <c r="K24" s="61"/>
      <c r="L24" s="61"/>
    </row>
    <row r="25" spans="1:12" ht="31.5">
      <c r="A25" s="67"/>
      <c r="B25" s="67"/>
      <c r="C25" s="67">
        <v>4370</v>
      </c>
      <c r="D25" s="60" t="s">
        <v>571</v>
      </c>
      <c r="E25" s="61">
        <f t="shared" si="2"/>
        <v>3601</v>
      </c>
      <c r="F25" s="61">
        <f t="shared" si="3"/>
        <v>3601</v>
      </c>
      <c r="G25" s="61"/>
      <c r="H25" s="61"/>
      <c r="I25" s="61">
        <v>3601</v>
      </c>
      <c r="J25" s="61"/>
      <c r="K25" s="61"/>
      <c r="L25" s="61"/>
    </row>
    <row r="26" spans="1:12" ht="15.75">
      <c r="A26" s="67"/>
      <c r="B26" s="67"/>
      <c r="C26" s="67">
        <v>4410</v>
      </c>
      <c r="D26" s="1" t="s">
        <v>572</v>
      </c>
      <c r="E26" s="61">
        <f t="shared" si="2"/>
        <v>1397</v>
      </c>
      <c r="F26" s="61">
        <f t="shared" si="3"/>
        <v>1397</v>
      </c>
      <c r="G26" s="61"/>
      <c r="H26" s="61"/>
      <c r="I26" s="61">
        <v>1397</v>
      </c>
      <c r="J26" s="61"/>
      <c r="K26" s="61"/>
      <c r="L26" s="61"/>
    </row>
    <row r="27" spans="1:12" ht="15.75">
      <c r="A27" s="67"/>
      <c r="B27" s="67"/>
      <c r="C27" s="67">
        <v>4430</v>
      </c>
      <c r="D27" s="1" t="s">
        <v>573</v>
      </c>
      <c r="E27" s="61">
        <f t="shared" si="2"/>
        <v>1635</v>
      </c>
      <c r="F27" s="61">
        <f t="shared" si="3"/>
        <v>1635</v>
      </c>
      <c r="G27" s="61"/>
      <c r="H27" s="61"/>
      <c r="I27" s="61">
        <v>1635</v>
      </c>
      <c r="J27" s="61"/>
      <c r="K27" s="61"/>
      <c r="L27" s="61"/>
    </row>
    <row r="28" spans="1:12" ht="15.75">
      <c r="A28" s="67"/>
      <c r="B28" s="67"/>
      <c r="C28" s="67">
        <v>4440</v>
      </c>
      <c r="D28" s="1" t="s">
        <v>574</v>
      </c>
      <c r="E28" s="61">
        <f t="shared" si="2"/>
        <v>108779.92181</v>
      </c>
      <c r="F28" s="61">
        <f t="shared" si="3"/>
        <v>108779.92181</v>
      </c>
      <c r="G28" s="61"/>
      <c r="H28" s="61"/>
      <c r="I28" s="321">
        <f>1000.04*9+2515.43*39.667</f>
        <v>108779.92181</v>
      </c>
      <c r="J28" s="61"/>
      <c r="K28" s="61"/>
      <c r="L28" s="61"/>
    </row>
    <row r="29" spans="1:12" ht="31.5">
      <c r="A29" s="67"/>
      <c r="B29" s="67"/>
      <c r="C29" s="67">
        <v>4700</v>
      </c>
      <c r="D29" s="1" t="s">
        <v>519</v>
      </c>
      <c r="E29" s="61">
        <f t="shared" si="2"/>
        <v>1700</v>
      </c>
      <c r="F29" s="61">
        <f t="shared" si="3"/>
        <v>1700</v>
      </c>
      <c r="G29" s="61"/>
      <c r="H29" s="61"/>
      <c r="I29" s="61">
        <v>1700</v>
      </c>
      <c r="J29" s="61"/>
      <c r="K29" s="61"/>
      <c r="L29" s="61"/>
    </row>
    <row r="30" spans="1:12" ht="31.5">
      <c r="A30" s="67"/>
      <c r="B30" s="67"/>
      <c r="C30" s="67">
        <v>4740</v>
      </c>
      <c r="D30" s="1" t="s">
        <v>551</v>
      </c>
      <c r="E30" s="61">
        <f t="shared" si="2"/>
        <v>2170</v>
      </c>
      <c r="F30" s="61">
        <f t="shared" si="3"/>
        <v>2170</v>
      </c>
      <c r="G30" s="61"/>
      <c r="H30" s="61"/>
      <c r="I30" s="61">
        <v>2170</v>
      </c>
      <c r="J30" s="61"/>
      <c r="K30" s="61"/>
      <c r="L30" s="61"/>
    </row>
    <row r="31" spans="1:12" ht="31.5">
      <c r="A31" s="67"/>
      <c r="B31" s="67"/>
      <c r="C31" s="67">
        <v>4750</v>
      </c>
      <c r="D31" s="1" t="s">
        <v>552</v>
      </c>
      <c r="E31" s="61">
        <f t="shared" si="2"/>
        <v>2740</v>
      </c>
      <c r="F31" s="61">
        <f t="shared" si="3"/>
        <v>2740</v>
      </c>
      <c r="G31" s="61"/>
      <c r="H31" s="61"/>
      <c r="I31" s="61">
        <f>1540+1200</f>
        <v>2740</v>
      </c>
      <c r="J31" s="61"/>
      <c r="K31" s="61"/>
      <c r="L31" s="61"/>
    </row>
    <row r="32" spans="1:12" ht="15.75">
      <c r="A32" s="67"/>
      <c r="B32" s="67"/>
      <c r="C32" s="67">
        <v>6050</v>
      </c>
      <c r="D32" s="1" t="s">
        <v>661</v>
      </c>
      <c r="E32" s="61">
        <f>L32</f>
        <v>230900</v>
      </c>
      <c r="F32" s="61"/>
      <c r="G32" s="61"/>
      <c r="H32" s="61"/>
      <c r="I32" s="61"/>
      <c r="J32" s="61"/>
      <c r="K32" s="61"/>
      <c r="L32" s="61">
        <f>'zał 11'!E48</f>
        <v>230900</v>
      </c>
    </row>
    <row r="33" spans="1:12" ht="15.75" customHeight="1">
      <c r="A33" s="778" t="s">
        <v>724</v>
      </c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778"/>
    </row>
    <row r="34" spans="1:12" ht="15.75">
      <c r="A34" s="65"/>
      <c r="B34" s="65">
        <v>80103</v>
      </c>
      <c r="C34" s="65"/>
      <c r="D34" s="66" t="s">
        <v>553</v>
      </c>
      <c r="E34" s="58">
        <f aca="true" t="shared" si="4" ref="E34:L34">SUM(E35:E44)</f>
        <v>95854.47</v>
      </c>
      <c r="F34" s="58">
        <f t="shared" si="4"/>
        <v>95854.47</v>
      </c>
      <c r="G34" s="58">
        <f t="shared" si="4"/>
        <v>70041</v>
      </c>
      <c r="H34" s="58">
        <f t="shared" si="4"/>
        <v>12355</v>
      </c>
      <c r="I34" s="58">
        <f t="shared" si="4"/>
        <v>13215.47</v>
      </c>
      <c r="J34" s="58">
        <f t="shared" si="4"/>
        <v>243</v>
      </c>
      <c r="K34" s="58">
        <f t="shared" si="4"/>
        <v>0</v>
      </c>
      <c r="L34" s="58">
        <f t="shared" si="4"/>
        <v>0</v>
      </c>
    </row>
    <row r="35" spans="1:12" ht="15.75">
      <c r="A35" s="205"/>
      <c r="B35" s="208"/>
      <c r="C35" s="208">
        <v>3020</v>
      </c>
      <c r="D35" s="1" t="s">
        <v>561</v>
      </c>
      <c r="E35" s="209">
        <f aca="true" t="shared" si="5" ref="E35:E44">F35</f>
        <v>243</v>
      </c>
      <c r="F35" s="209">
        <f>J35</f>
        <v>243</v>
      </c>
      <c r="G35" s="209"/>
      <c r="H35" s="209"/>
      <c r="I35" s="322"/>
      <c r="J35" s="209">
        <v>243</v>
      </c>
      <c r="K35" s="322"/>
      <c r="L35" s="209"/>
    </row>
    <row r="36" spans="1:12" ht="15.75">
      <c r="A36" s="208"/>
      <c r="B36" s="208"/>
      <c r="C36" s="208">
        <v>4010</v>
      </c>
      <c r="D36" s="1" t="s">
        <v>545</v>
      </c>
      <c r="E36" s="209">
        <f t="shared" si="5"/>
        <v>68814</v>
      </c>
      <c r="F36" s="209">
        <f>G36</f>
        <v>68814</v>
      </c>
      <c r="G36" s="209">
        <v>68814</v>
      </c>
      <c r="H36" s="209"/>
      <c r="I36" s="322"/>
      <c r="J36" s="322"/>
      <c r="K36" s="322"/>
      <c r="L36" s="209"/>
    </row>
    <row r="37" spans="1:12" ht="15.75">
      <c r="A37" s="208"/>
      <c r="B37" s="208"/>
      <c r="C37" s="208">
        <v>4040</v>
      </c>
      <c r="D37" s="1" t="s">
        <v>562</v>
      </c>
      <c r="E37" s="209">
        <f t="shared" si="5"/>
        <v>1227</v>
      </c>
      <c r="F37" s="209">
        <f>G37</f>
        <v>1227</v>
      </c>
      <c r="G37" s="209">
        <v>1227</v>
      </c>
      <c r="H37" s="209"/>
      <c r="I37" s="322"/>
      <c r="J37" s="322"/>
      <c r="K37" s="322"/>
      <c r="L37" s="209"/>
    </row>
    <row r="38" spans="1:12" ht="15.75">
      <c r="A38" s="208"/>
      <c r="B38" s="208"/>
      <c r="C38" s="208">
        <v>4110</v>
      </c>
      <c r="D38" s="1" t="s">
        <v>563</v>
      </c>
      <c r="E38" s="209">
        <f t="shared" si="5"/>
        <v>10639</v>
      </c>
      <c r="F38" s="209">
        <f>H38</f>
        <v>10639</v>
      </c>
      <c r="G38" s="209"/>
      <c r="H38" s="209">
        <v>10639</v>
      </c>
      <c r="I38" s="322"/>
      <c r="J38" s="322"/>
      <c r="K38" s="322"/>
      <c r="L38" s="209"/>
    </row>
    <row r="39" spans="1:12" ht="15.75">
      <c r="A39" s="208"/>
      <c r="B39" s="208"/>
      <c r="C39" s="208">
        <v>4120</v>
      </c>
      <c r="D39" s="1" t="s">
        <v>564</v>
      </c>
      <c r="E39" s="209">
        <f t="shared" si="5"/>
        <v>1716</v>
      </c>
      <c r="F39" s="209">
        <f>H39</f>
        <v>1716</v>
      </c>
      <c r="G39" s="209"/>
      <c r="H39" s="209">
        <v>1716</v>
      </c>
      <c r="I39" s="322"/>
      <c r="J39" s="322"/>
      <c r="K39" s="322"/>
      <c r="L39" s="209"/>
    </row>
    <row r="40" spans="1:12" ht="15.75">
      <c r="A40" s="208"/>
      <c r="B40" s="208"/>
      <c r="C40" s="208">
        <v>4210</v>
      </c>
      <c r="D40" s="1" t="s">
        <v>555</v>
      </c>
      <c r="E40" s="209">
        <f t="shared" si="5"/>
        <v>6200</v>
      </c>
      <c r="F40" s="209">
        <f>I40</f>
        <v>6200</v>
      </c>
      <c r="G40" s="209"/>
      <c r="H40" s="209"/>
      <c r="I40" s="209">
        <v>6200</v>
      </c>
      <c r="J40" s="322"/>
      <c r="K40" s="322"/>
      <c r="L40" s="209"/>
    </row>
    <row r="41" spans="1:12" ht="15.75">
      <c r="A41" s="208"/>
      <c r="B41" s="208"/>
      <c r="C41" s="208">
        <v>4240</v>
      </c>
      <c r="D41" s="1" t="s">
        <v>556</v>
      </c>
      <c r="E41" s="209">
        <f t="shared" si="5"/>
        <v>3500</v>
      </c>
      <c r="F41" s="209">
        <f>I41</f>
        <v>3500</v>
      </c>
      <c r="G41" s="209"/>
      <c r="H41" s="209"/>
      <c r="I41" s="209">
        <v>3500</v>
      </c>
      <c r="J41" s="322"/>
      <c r="K41" s="322"/>
      <c r="L41" s="209"/>
    </row>
    <row r="42" spans="1:12" ht="15.75">
      <c r="A42" s="208"/>
      <c r="B42" s="208"/>
      <c r="C42" s="180">
        <v>4280</v>
      </c>
      <c r="D42" s="181" t="s">
        <v>568</v>
      </c>
      <c r="E42" s="209">
        <f t="shared" si="5"/>
        <v>0</v>
      </c>
      <c r="F42" s="209">
        <f>I42</f>
        <v>0</v>
      </c>
      <c r="G42" s="209"/>
      <c r="H42" s="209"/>
      <c r="I42" s="209">
        <v>0</v>
      </c>
      <c r="J42" s="322"/>
      <c r="K42" s="322"/>
      <c r="L42" s="209"/>
    </row>
    <row r="43" spans="1:12" ht="15.75">
      <c r="A43" s="208"/>
      <c r="B43" s="208"/>
      <c r="C43" s="208">
        <v>4440</v>
      </c>
      <c r="D43" s="1" t="s">
        <v>574</v>
      </c>
      <c r="E43" s="209">
        <f t="shared" si="5"/>
        <v>3515.47</v>
      </c>
      <c r="F43" s="209">
        <f>I43</f>
        <v>3515.47</v>
      </c>
      <c r="G43" s="209"/>
      <c r="H43" s="209"/>
      <c r="I43" s="321">
        <f>1000.04*1+2515.43*1</f>
        <v>3515.47</v>
      </c>
      <c r="J43" s="322"/>
      <c r="K43" s="322"/>
      <c r="L43" s="209"/>
    </row>
    <row r="44" spans="1:12" ht="31.5">
      <c r="A44" s="208"/>
      <c r="B44" s="208"/>
      <c r="C44" s="178">
        <v>4740</v>
      </c>
      <c r="D44" s="179" t="s">
        <v>558</v>
      </c>
      <c r="E44" s="209">
        <f t="shared" si="5"/>
        <v>0</v>
      </c>
      <c r="F44" s="209">
        <f>I44</f>
        <v>0</v>
      </c>
      <c r="G44" s="209"/>
      <c r="H44" s="209"/>
      <c r="I44" s="209">
        <v>0</v>
      </c>
      <c r="J44" s="322"/>
      <c r="K44" s="322"/>
      <c r="L44" s="209"/>
    </row>
    <row r="45" spans="1:12" ht="15.75">
      <c r="A45" s="204"/>
      <c r="B45" s="65">
        <v>80146</v>
      </c>
      <c r="C45" s="65"/>
      <c r="D45" s="66" t="s">
        <v>584</v>
      </c>
      <c r="E45" s="58">
        <f>SUM(E46:E50)</f>
        <v>5994</v>
      </c>
      <c r="F45" s="58">
        <f>SUM(F46:F50)</f>
        <v>5994</v>
      </c>
      <c r="G45" s="58">
        <f aca="true" t="shared" si="6" ref="G45:L45">SUM(G46:G49)</f>
        <v>0</v>
      </c>
      <c r="H45" s="58">
        <f t="shared" si="6"/>
        <v>0</v>
      </c>
      <c r="I45" s="58">
        <f t="shared" si="6"/>
        <v>4994</v>
      </c>
      <c r="J45" s="58">
        <f t="shared" si="6"/>
        <v>0</v>
      </c>
      <c r="K45" s="58">
        <f t="shared" si="6"/>
        <v>0</v>
      </c>
      <c r="L45" s="58">
        <f t="shared" si="6"/>
        <v>0</v>
      </c>
    </row>
    <row r="46" spans="1:12" ht="15.75">
      <c r="A46" s="65"/>
      <c r="B46" s="65"/>
      <c r="C46" s="67">
        <v>4210</v>
      </c>
      <c r="D46" s="1" t="s">
        <v>555</v>
      </c>
      <c r="E46" s="323">
        <f>F46</f>
        <v>594</v>
      </c>
      <c r="F46" s="323">
        <f>I46</f>
        <v>594</v>
      </c>
      <c r="G46" s="61"/>
      <c r="H46" s="61"/>
      <c r="I46" s="323">
        <v>594</v>
      </c>
      <c r="J46" s="324"/>
      <c r="K46" s="324"/>
      <c r="L46" s="324"/>
    </row>
    <row r="47" spans="1:12" ht="15.75">
      <c r="A47" s="65"/>
      <c r="B47" s="65"/>
      <c r="C47" s="180">
        <v>4240</v>
      </c>
      <c r="D47" s="181" t="s">
        <v>556</v>
      </c>
      <c r="E47" s="323"/>
      <c r="F47" s="323"/>
      <c r="G47" s="61"/>
      <c r="H47" s="61"/>
      <c r="I47" s="323"/>
      <c r="J47" s="324"/>
      <c r="K47" s="324"/>
      <c r="L47" s="324"/>
    </row>
    <row r="48" spans="1:12" ht="15.75">
      <c r="A48" s="67"/>
      <c r="B48" s="67"/>
      <c r="C48" s="67">
        <v>4300</v>
      </c>
      <c r="D48" s="1" t="s">
        <v>569</v>
      </c>
      <c r="E48" s="323">
        <f>F48</f>
        <v>2500</v>
      </c>
      <c r="F48" s="323">
        <f>I48</f>
        <v>2500</v>
      </c>
      <c r="G48" s="61"/>
      <c r="H48" s="61"/>
      <c r="I48" s="323">
        <v>2500</v>
      </c>
      <c r="J48" s="324"/>
      <c r="K48" s="324"/>
      <c r="L48" s="324"/>
    </row>
    <row r="49" spans="1:12" ht="15.75">
      <c r="A49" s="67"/>
      <c r="B49" s="67"/>
      <c r="C49" s="67">
        <v>4410</v>
      </c>
      <c r="D49" s="1" t="s">
        <v>572</v>
      </c>
      <c r="E49" s="323">
        <f>F49</f>
        <v>1900</v>
      </c>
      <c r="F49" s="323">
        <f>I49</f>
        <v>1900</v>
      </c>
      <c r="G49" s="61"/>
      <c r="H49" s="61"/>
      <c r="I49" s="323">
        <v>1900</v>
      </c>
      <c r="J49" s="324"/>
      <c r="K49" s="324"/>
      <c r="L49" s="324"/>
    </row>
    <row r="50" spans="1:12" ht="31.5">
      <c r="A50" s="67"/>
      <c r="B50" s="67"/>
      <c r="C50" s="67">
        <v>4700</v>
      </c>
      <c r="D50" s="1" t="s">
        <v>519</v>
      </c>
      <c r="E50" s="323">
        <f>F50</f>
        <v>1000</v>
      </c>
      <c r="F50" s="323">
        <f>I50</f>
        <v>1000</v>
      </c>
      <c r="G50" s="61"/>
      <c r="H50" s="61"/>
      <c r="I50" s="323">
        <v>1000</v>
      </c>
      <c r="J50" s="324"/>
      <c r="K50" s="324"/>
      <c r="L50" s="324"/>
    </row>
    <row r="51" spans="1:12" ht="15.75">
      <c r="A51" s="65"/>
      <c r="B51" s="65">
        <v>80195</v>
      </c>
      <c r="C51" s="65"/>
      <c r="D51" s="66" t="s">
        <v>306</v>
      </c>
      <c r="E51" s="58">
        <f aca="true" t="shared" si="7" ref="E51:L51">SUM(E52:E52)</f>
        <v>19731.85518875</v>
      </c>
      <c r="F51" s="58">
        <f t="shared" si="7"/>
        <v>19731.85518875</v>
      </c>
      <c r="G51" s="58">
        <f t="shared" si="7"/>
        <v>0</v>
      </c>
      <c r="H51" s="58">
        <f t="shared" si="7"/>
        <v>0</v>
      </c>
      <c r="I51" s="58">
        <f t="shared" si="7"/>
        <v>0</v>
      </c>
      <c r="J51" s="58">
        <f t="shared" si="7"/>
        <v>0</v>
      </c>
      <c r="K51" s="58">
        <f t="shared" si="7"/>
        <v>0</v>
      </c>
      <c r="L51" s="58">
        <f t="shared" si="7"/>
        <v>0</v>
      </c>
    </row>
    <row r="52" spans="1:12" ht="15.75">
      <c r="A52" s="65"/>
      <c r="B52" s="65"/>
      <c r="C52" s="67">
        <v>4440</v>
      </c>
      <c r="D52" s="1" t="s">
        <v>574</v>
      </c>
      <c r="E52" s="61">
        <f>F52</f>
        <v>19731.85518875</v>
      </c>
      <c r="F52" s="321">
        <f>(7*2666.77*0.0625+19*958.75)*1.018</f>
        <v>19731.85518875</v>
      </c>
      <c r="G52" s="61"/>
      <c r="H52" s="61"/>
      <c r="I52" s="321"/>
      <c r="J52" s="324"/>
      <c r="K52" s="324"/>
      <c r="L52" s="324"/>
    </row>
  </sheetData>
  <mergeCells count="13">
    <mergeCell ref="G6:K6"/>
    <mergeCell ref="L6:L7"/>
    <mergeCell ref="A33:L33"/>
    <mergeCell ref="A1:L1"/>
    <mergeCell ref="A2:L2"/>
    <mergeCell ref="A3:D3"/>
    <mergeCell ref="A5:A7"/>
    <mergeCell ref="B5:B7"/>
    <mergeCell ref="C5:C7"/>
    <mergeCell ref="D5:D7"/>
    <mergeCell ref="E5:E7"/>
    <mergeCell ref="F5:L5"/>
    <mergeCell ref="F6:F7"/>
  </mergeCells>
  <printOptions/>
  <pageMargins left="0.5902777777777778" right="0.5902777777777778" top="0.5902777777777778" bottom="0.5041666666666667" header="0.5118055555555556" footer="0.3375"/>
  <pageSetup horizontalDpi="300" verticalDpi="300" orientation="landscape" paperSize="9" scale="80" r:id="rId1"/>
  <headerFooter alignWithMargins="0">
    <oddFooter>&amp;C&amp;"Times New Roman,Normalny"&amp;12Strona &amp;P z &amp;N</oddFooter>
  </headerFooter>
  <rowBreaks count="1" manualBreakCount="1"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defaultGridColor="0" view="pageBreakPreview" zoomScale="90" zoomScaleSheetLayoutView="90" colorId="15" workbookViewId="0" topLeftCell="A1">
      <selection activeCell="A2" sqref="A2"/>
    </sheetView>
  </sheetViews>
  <sheetFormatPr defaultColWidth="9.00390625" defaultRowHeight="12.75"/>
  <cols>
    <col min="1" max="1" width="5.00390625" style="325" customWidth="1"/>
    <col min="2" max="2" width="7.125" style="325" customWidth="1"/>
    <col min="3" max="3" width="6.125" style="325" customWidth="1"/>
    <col min="4" max="4" width="41.625" style="325" customWidth="1"/>
    <col min="5" max="5" width="11.375" style="325" customWidth="1"/>
    <col min="6" max="6" width="10.125" style="325" customWidth="1"/>
    <col min="7" max="7" width="11.625" style="325" customWidth="1"/>
    <col min="8" max="8" width="9.25390625" style="325" customWidth="1"/>
    <col min="9" max="9" width="11.625" style="325" customWidth="1"/>
    <col min="10" max="10" width="7.625" style="325" customWidth="1"/>
    <col min="11" max="11" width="8.75390625" style="325" customWidth="1"/>
    <col min="12" max="12" width="9.125" style="325" customWidth="1"/>
    <col min="13" max="16384" width="9.00390625" style="325" customWidth="1"/>
  </cols>
  <sheetData>
    <row r="1" spans="1:12" s="326" customFormat="1" ht="26.25" customHeight="1">
      <c r="A1" s="785" t="s">
        <v>725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</row>
    <row r="2" spans="1:12" s="326" customFormat="1" ht="31.5" customHeight="1">
      <c r="A2" s="786" t="s">
        <v>710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327"/>
    </row>
    <row r="3" spans="1:12" s="326" customFormat="1" ht="13.5" customHeight="1">
      <c r="A3" s="787" t="s">
        <v>694</v>
      </c>
      <c r="B3" s="787"/>
      <c r="C3" s="787"/>
      <c r="D3" s="787"/>
      <c r="E3" s="328"/>
      <c r="F3" s="328"/>
      <c r="G3" s="328"/>
      <c r="H3" s="328"/>
      <c r="I3" s="328"/>
      <c r="J3" s="328"/>
      <c r="K3" s="328"/>
      <c r="L3" s="329" t="s">
        <v>274</v>
      </c>
    </row>
    <row r="4" spans="1:12" s="332" customFormat="1" ht="13.5" customHeight="1">
      <c r="A4" s="788" t="s">
        <v>275</v>
      </c>
      <c r="B4" s="788" t="s">
        <v>296</v>
      </c>
      <c r="C4" s="789" t="s">
        <v>297</v>
      </c>
      <c r="D4" s="789" t="s">
        <v>711</v>
      </c>
      <c r="E4" s="790" t="s">
        <v>463</v>
      </c>
      <c r="F4" s="791" t="s">
        <v>300</v>
      </c>
      <c r="G4" s="791"/>
      <c r="H4" s="791"/>
      <c r="I4" s="791"/>
      <c r="J4" s="791"/>
      <c r="K4" s="791"/>
      <c r="L4" s="791"/>
    </row>
    <row r="5" spans="1:12" s="332" customFormat="1" ht="13.5" customHeight="1">
      <c r="A5" s="788"/>
      <c r="B5" s="788"/>
      <c r="C5" s="789"/>
      <c r="D5" s="789"/>
      <c r="E5" s="790"/>
      <c r="F5" s="790" t="s">
        <v>636</v>
      </c>
      <c r="G5" s="791" t="s">
        <v>216</v>
      </c>
      <c r="H5" s="791"/>
      <c r="I5" s="791"/>
      <c r="J5" s="791"/>
      <c r="K5" s="791"/>
      <c r="L5" s="790" t="s">
        <v>465</v>
      </c>
    </row>
    <row r="6" spans="1:12" s="332" customFormat="1" ht="72">
      <c r="A6" s="788"/>
      <c r="B6" s="788"/>
      <c r="C6" s="789"/>
      <c r="D6" s="789"/>
      <c r="E6" s="790"/>
      <c r="F6" s="790"/>
      <c r="G6" s="331" t="s">
        <v>472</v>
      </c>
      <c r="H6" s="331" t="s">
        <v>638</v>
      </c>
      <c r="I6" s="292" t="s">
        <v>474</v>
      </c>
      <c r="J6" s="293" t="s">
        <v>468</v>
      </c>
      <c r="K6" s="330" t="s">
        <v>712</v>
      </c>
      <c r="L6" s="790"/>
    </row>
    <row r="7" spans="1:12" s="326" customFormat="1" ht="15.75">
      <c r="A7" s="333">
        <v>1</v>
      </c>
      <c r="B7" s="333">
        <v>2</v>
      </c>
      <c r="C7" s="333">
        <v>3</v>
      </c>
      <c r="D7" s="333">
        <v>4</v>
      </c>
      <c r="E7" s="333">
        <v>5</v>
      </c>
      <c r="F7" s="333">
        <v>6</v>
      </c>
      <c r="G7" s="333">
        <v>7</v>
      </c>
      <c r="H7" s="333">
        <v>8</v>
      </c>
      <c r="I7" s="333">
        <v>9</v>
      </c>
      <c r="J7" s="333">
        <v>10</v>
      </c>
      <c r="K7" s="333">
        <v>11</v>
      </c>
      <c r="L7" s="333">
        <v>12</v>
      </c>
    </row>
    <row r="8" spans="1:12" s="335" customFormat="1" ht="15.75">
      <c r="A8" s="334">
        <v>801</v>
      </c>
      <c r="B8" s="334"/>
      <c r="C8" s="334"/>
      <c r="D8" s="334" t="s">
        <v>399</v>
      </c>
      <c r="E8" s="93">
        <f aca="true" t="shared" si="0" ref="E8:L8">E33+E44+E51+E67+E9</f>
        <v>1117119.3900475</v>
      </c>
      <c r="F8" s="93">
        <f t="shared" si="0"/>
        <v>989419.3900474999</v>
      </c>
      <c r="G8" s="93">
        <f t="shared" si="0"/>
        <v>645283</v>
      </c>
      <c r="H8" s="93">
        <f t="shared" si="0"/>
        <v>113827.92120000001</v>
      </c>
      <c r="I8" s="93">
        <f t="shared" si="0"/>
        <v>126623.7598</v>
      </c>
      <c r="J8" s="93">
        <f t="shared" si="0"/>
        <v>40012</v>
      </c>
      <c r="K8" s="93">
        <f t="shared" si="0"/>
        <v>0</v>
      </c>
      <c r="L8" s="93">
        <f t="shared" si="0"/>
        <v>127700</v>
      </c>
    </row>
    <row r="9" spans="1:12" s="335" customFormat="1" ht="15.75">
      <c r="A9" s="336"/>
      <c r="B9" s="336">
        <v>80101</v>
      </c>
      <c r="C9" s="337"/>
      <c r="D9" s="338" t="s">
        <v>400</v>
      </c>
      <c r="E9" s="88">
        <f aca="true" t="shared" si="1" ref="E9:L9">SUM(E10:E32)</f>
        <v>976238.4822</v>
      </c>
      <c r="F9" s="88">
        <f t="shared" si="1"/>
        <v>848538.4822</v>
      </c>
      <c r="G9" s="88">
        <f t="shared" si="1"/>
        <v>587841</v>
      </c>
      <c r="H9" s="88">
        <f t="shared" si="1"/>
        <v>103695.1524</v>
      </c>
      <c r="I9" s="88">
        <f t="shared" si="1"/>
        <v>120602.32979999999</v>
      </c>
      <c r="J9" s="88">
        <f t="shared" si="1"/>
        <v>36400</v>
      </c>
      <c r="K9" s="88">
        <f t="shared" si="1"/>
        <v>0</v>
      </c>
      <c r="L9" s="88">
        <f t="shared" si="1"/>
        <v>127700</v>
      </c>
    </row>
    <row r="10" spans="1:12" s="335" customFormat="1" ht="31.5">
      <c r="A10" s="339"/>
      <c r="B10" s="339"/>
      <c r="C10" s="178">
        <v>3020</v>
      </c>
      <c r="D10" s="179" t="s">
        <v>713</v>
      </c>
      <c r="E10" s="340">
        <f aca="true" t="shared" si="2" ref="E10:E24">F10</f>
        <v>36400</v>
      </c>
      <c r="F10" s="340">
        <f>J10</f>
        <v>36400</v>
      </c>
      <c r="G10" s="341"/>
      <c r="H10" s="341"/>
      <c r="I10" s="341"/>
      <c r="J10" s="340">
        <v>36400</v>
      </c>
      <c r="K10" s="342"/>
      <c r="L10" s="341"/>
    </row>
    <row r="11" spans="1:12" s="335" customFormat="1" ht="15.75">
      <c r="A11" s="339"/>
      <c r="B11" s="339"/>
      <c r="C11" s="178">
        <v>3240</v>
      </c>
      <c r="D11" s="179" t="s">
        <v>723</v>
      </c>
      <c r="E11" s="340">
        <f t="shared" si="2"/>
        <v>0</v>
      </c>
      <c r="F11" s="340">
        <v>0</v>
      </c>
      <c r="G11" s="340"/>
      <c r="H11" s="340"/>
      <c r="I11" s="340"/>
      <c r="J11" s="343"/>
      <c r="K11" s="343"/>
      <c r="L11" s="340"/>
    </row>
    <row r="12" spans="1:12" s="335" customFormat="1" ht="15.75">
      <c r="A12" s="339"/>
      <c r="B12" s="339"/>
      <c r="C12" s="178">
        <v>4010</v>
      </c>
      <c r="D12" s="179" t="s">
        <v>545</v>
      </c>
      <c r="E12" s="340">
        <f t="shared" si="2"/>
        <v>543792</v>
      </c>
      <c r="F12" s="340">
        <f>G12</f>
        <v>543792</v>
      </c>
      <c r="G12" s="340">
        <f>115889+427903</f>
        <v>543792</v>
      </c>
      <c r="H12" s="340"/>
      <c r="I12" s="340"/>
      <c r="J12" s="343"/>
      <c r="K12" s="343"/>
      <c r="L12" s="340"/>
    </row>
    <row r="13" spans="1:12" s="335" customFormat="1" ht="15.75">
      <c r="A13" s="339"/>
      <c r="B13" s="339"/>
      <c r="C13" s="178">
        <v>4040</v>
      </c>
      <c r="D13" s="179" t="s">
        <v>562</v>
      </c>
      <c r="E13" s="340">
        <f t="shared" si="2"/>
        <v>44049</v>
      </c>
      <c r="F13" s="340">
        <f>G13</f>
        <v>44049</v>
      </c>
      <c r="G13" s="340">
        <v>44049</v>
      </c>
      <c r="H13" s="340"/>
      <c r="I13" s="340"/>
      <c r="J13" s="343"/>
      <c r="K13" s="343"/>
      <c r="L13" s="340"/>
    </row>
    <row r="14" spans="1:12" s="335" customFormat="1" ht="15.75">
      <c r="A14" s="339"/>
      <c r="B14" s="339"/>
      <c r="C14" s="178">
        <v>4110</v>
      </c>
      <c r="D14" s="179" t="s">
        <v>563</v>
      </c>
      <c r="E14" s="340">
        <f t="shared" si="2"/>
        <v>89293.0479</v>
      </c>
      <c r="F14" s="340">
        <f>H14</f>
        <v>89293.0479</v>
      </c>
      <c r="G14" s="340"/>
      <c r="H14" s="61">
        <f>(G12+G13)*0.1519</f>
        <v>89293.0479</v>
      </c>
      <c r="I14" s="340"/>
      <c r="J14" s="343"/>
      <c r="K14" s="343"/>
      <c r="L14" s="340"/>
    </row>
    <row r="15" spans="1:12" s="335" customFormat="1" ht="15.75">
      <c r="A15" s="339"/>
      <c r="B15" s="339"/>
      <c r="C15" s="178">
        <v>4120</v>
      </c>
      <c r="D15" s="179" t="s">
        <v>564</v>
      </c>
      <c r="E15" s="340">
        <f t="shared" si="2"/>
        <v>14402.104500000001</v>
      </c>
      <c r="F15" s="340">
        <f>H15</f>
        <v>14402.104500000001</v>
      </c>
      <c r="G15" s="340"/>
      <c r="H15" s="61">
        <f>(G13+G12)*0.0245</f>
        <v>14402.104500000001</v>
      </c>
      <c r="I15" s="340"/>
      <c r="J15" s="343"/>
      <c r="K15" s="343"/>
      <c r="L15" s="340"/>
    </row>
    <row r="16" spans="1:12" s="335" customFormat="1" ht="15.75">
      <c r="A16" s="339"/>
      <c r="B16" s="339"/>
      <c r="C16" s="178">
        <v>4170</v>
      </c>
      <c r="D16" s="179" t="s">
        <v>715</v>
      </c>
      <c r="E16" s="340">
        <f t="shared" si="2"/>
        <v>0</v>
      </c>
      <c r="F16" s="340">
        <v>0</v>
      </c>
      <c r="G16" s="340"/>
      <c r="H16" s="340"/>
      <c r="I16" s="340"/>
      <c r="J16" s="343"/>
      <c r="K16" s="343"/>
      <c r="L16" s="340"/>
    </row>
    <row r="17" spans="1:12" s="335" customFormat="1" ht="15.75">
      <c r="A17" s="339"/>
      <c r="B17" s="339"/>
      <c r="C17" s="178">
        <v>4210</v>
      </c>
      <c r="D17" s="179" t="s">
        <v>555</v>
      </c>
      <c r="E17" s="340">
        <f t="shared" si="2"/>
        <v>10000</v>
      </c>
      <c r="F17" s="96">
        <f aca="true" t="shared" si="3" ref="F17:F24">I17</f>
        <v>10000</v>
      </c>
      <c r="G17" s="340"/>
      <c r="H17" s="340"/>
      <c r="I17" s="96">
        <v>10000</v>
      </c>
      <c r="J17" s="343"/>
      <c r="K17" s="343"/>
      <c r="L17" s="340"/>
    </row>
    <row r="18" spans="1:12" s="335" customFormat="1" ht="31.5">
      <c r="A18" s="339"/>
      <c r="B18" s="339"/>
      <c r="C18" s="178">
        <v>4240</v>
      </c>
      <c r="D18" s="179" t="s">
        <v>556</v>
      </c>
      <c r="E18" s="340">
        <f t="shared" si="2"/>
        <v>1000</v>
      </c>
      <c r="F18" s="96">
        <f t="shared" si="3"/>
        <v>1000</v>
      </c>
      <c r="G18" s="340"/>
      <c r="H18" s="340"/>
      <c r="I18" s="340">
        <v>1000</v>
      </c>
      <c r="J18" s="343"/>
      <c r="K18" s="343"/>
      <c r="L18" s="340"/>
    </row>
    <row r="19" spans="1:12" s="335" customFormat="1" ht="15.75">
      <c r="A19" s="339"/>
      <c r="B19" s="339"/>
      <c r="C19" s="178">
        <v>4260</v>
      </c>
      <c r="D19" s="179" t="s">
        <v>567</v>
      </c>
      <c r="E19" s="340">
        <f t="shared" si="2"/>
        <v>57300</v>
      </c>
      <c r="F19" s="96">
        <f t="shared" si="3"/>
        <v>57300</v>
      </c>
      <c r="G19" s="340"/>
      <c r="H19" s="340"/>
      <c r="I19" s="340">
        <v>57300</v>
      </c>
      <c r="J19" s="343"/>
      <c r="K19" s="343"/>
      <c r="L19" s="340"/>
    </row>
    <row r="20" spans="1:12" s="335" customFormat="1" ht="15.75">
      <c r="A20" s="339"/>
      <c r="B20" s="339"/>
      <c r="C20" s="178">
        <v>4270</v>
      </c>
      <c r="D20" s="179" t="s">
        <v>507</v>
      </c>
      <c r="E20" s="340">
        <f t="shared" si="2"/>
        <v>5000</v>
      </c>
      <c r="F20" s="96">
        <f t="shared" si="3"/>
        <v>5000</v>
      </c>
      <c r="G20" s="340"/>
      <c r="H20" s="340"/>
      <c r="I20" s="340">
        <v>5000</v>
      </c>
      <c r="J20" s="343"/>
      <c r="K20" s="343"/>
      <c r="L20" s="340"/>
    </row>
    <row r="21" spans="1:12" s="335" customFormat="1" ht="15.75">
      <c r="A21" s="339"/>
      <c r="B21" s="339"/>
      <c r="C21" s="178">
        <v>4280</v>
      </c>
      <c r="D21" s="179" t="s">
        <v>568</v>
      </c>
      <c r="E21" s="340">
        <f t="shared" si="2"/>
        <v>700</v>
      </c>
      <c r="F21" s="96">
        <f t="shared" si="3"/>
        <v>700</v>
      </c>
      <c r="G21" s="340"/>
      <c r="H21" s="340"/>
      <c r="I21" s="340">
        <v>700</v>
      </c>
      <c r="J21" s="343"/>
      <c r="K21" s="343"/>
      <c r="L21" s="340"/>
    </row>
    <row r="22" spans="1:12" s="335" customFormat="1" ht="15.75">
      <c r="A22" s="339"/>
      <c r="B22" s="339"/>
      <c r="C22" s="178">
        <v>4300</v>
      </c>
      <c r="D22" s="179" t="s">
        <v>569</v>
      </c>
      <c r="E22" s="340">
        <f t="shared" si="2"/>
        <v>8450</v>
      </c>
      <c r="F22" s="96">
        <f t="shared" si="3"/>
        <v>8450</v>
      </c>
      <c r="G22" s="340"/>
      <c r="H22" s="340"/>
      <c r="I22" s="340">
        <v>8450</v>
      </c>
      <c r="J22" s="343"/>
      <c r="K22" s="343"/>
      <c r="L22" s="340"/>
    </row>
    <row r="23" spans="1:12" s="335" customFormat="1" ht="15.75">
      <c r="A23" s="339"/>
      <c r="B23" s="339"/>
      <c r="C23" s="178">
        <v>4350</v>
      </c>
      <c r="D23" s="179" t="s">
        <v>570</v>
      </c>
      <c r="E23" s="340">
        <f t="shared" si="2"/>
        <v>500</v>
      </c>
      <c r="F23" s="96">
        <f t="shared" si="3"/>
        <v>500</v>
      </c>
      <c r="G23" s="340"/>
      <c r="H23" s="340"/>
      <c r="I23" s="340">
        <v>500</v>
      </c>
      <c r="J23" s="343"/>
      <c r="K23" s="343"/>
      <c r="L23" s="340"/>
    </row>
    <row r="24" spans="1:12" s="335" customFormat="1" ht="31.5">
      <c r="A24" s="339"/>
      <c r="B24" s="339"/>
      <c r="C24" s="178">
        <v>4370</v>
      </c>
      <c r="D24" s="179" t="s">
        <v>716</v>
      </c>
      <c r="E24" s="340">
        <f t="shared" si="2"/>
        <v>2050</v>
      </c>
      <c r="F24" s="96">
        <f t="shared" si="3"/>
        <v>2050</v>
      </c>
      <c r="G24" s="340"/>
      <c r="H24" s="340"/>
      <c r="I24" s="340">
        <v>2050</v>
      </c>
      <c r="J24" s="343"/>
      <c r="K24" s="343"/>
      <c r="L24" s="340"/>
    </row>
    <row r="25" spans="1:12" s="335" customFormat="1" ht="15.75" customHeight="1">
      <c r="A25" s="778" t="s">
        <v>726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</row>
    <row r="26" spans="1:12" s="335" customFormat="1" ht="15.75">
      <c r="A26" s="339"/>
      <c r="B26" s="339"/>
      <c r="C26" s="178">
        <v>4410</v>
      </c>
      <c r="D26" s="179" t="s">
        <v>572</v>
      </c>
      <c r="E26" s="340">
        <f aca="true" t="shared" si="4" ref="E26:E31">F26</f>
        <v>900</v>
      </c>
      <c r="F26" s="96">
        <f aca="true" t="shared" si="5" ref="F26:F31">I26</f>
        <v>900</v>
      </c>
      <c r="G26" s="340"/>
      <c r="H26" s="340"/>
      <c r="I26" s="340">
        <v>900</v>
      </c>
      <c r="J26" s="343"/>
      <c r="K26" s="343"/>
      <c r="L26" s="340"/>
    </row>
    <row r="27" spans="1:12" s="335" customFormat="1" ht="15.75">
      <c r="A27" s="339"/>
      <c r="B27" s="339"/>
      <c r="C27" s="178">
        <v>4430</v>
      </c>
      <c r="D27" s="179" t="s">
        <v>573</v>
      </c>
      <c r="E27" s="340">
        <f t="shared" si="4"/>
        <v>2200</v>
      </c>
      <c r="F27" s="96">
        <f t="shared" si="5"/>
        <v>2200</v>
      </c>
      <c r="G27" s="340"/>
      <c r="H27" s="340"/>
      <c r="I27" s="340">
        <v>2200</v>
      </c>
      <c r="J27" s="343"/>
      <c r="K27" s="343"/>
      <c r="L27" s="340"/>
    </row>
    <row r="28" spans="1:12" s="335" customFormat="1" ht="31.5">
      <c r="A28" s="339"/>
      <c r="B28" s="339"/>
      <c r="C28" s="178">
        <v>4440</v>
      </c>
      <c r="D28" s="179" t="s">
        <v>718</v>
      </c>
      <c r="E28" s="340">
        <f t="shared" si="4"/>
        <v>29552.329799999996</v>
      </c>
      <c r="F28" s="96">
        <f t="shared" si="5"/>
        <v>29552.329799999996</v>
      </c>
      <c r="G28" s="340"/>
      <c r="H28" s="340"/>
      <c r="I28" s="321">
        <f>1000.04*4.75+2515.43*9.86</f>
        <v>29552.329799999996</v>
      </c>
      <c r="J28" s="343"/>
      <c r="K28" s="343"/>
      <c r="L28" s="340"/>
    </row>
    <row r="29" spans="1:12" s="335" customFormat="1" ht="31.5">
      <c r="A29" s="339"/>
      <c r="B29" s="339"/>
      <c r="C29" s="178">
        <v>4700</v>
      </c>
      <c r="D29" s="179" t="s">
        <v>575</v>
      </c>
      <c r="E29" s="340">
        <f t="shared" si="4"/>
        <v>1000</v>
      </c>
      <c r="F29" s="96">
        <f t="shared" si="5"/>
        <v>1000</v>
      </c>
      <c r="G29" s="340"/>
      <c r="H29" s="340"/>
      <c r="I29" s="340">
        <v>1000</v>
      </c>
      <c r="J29" s="343"/>
      <c r="K29" s="343"/>
      <c r="L29" s="340"/>
    </row>
    <row r="30" spans="1:12" s="335" customFormat="1" ht="31.5">
      <c r="A30" s="339"/>
      <c r="B30" s="339"/>
      <c r="C30" s="178">
        <v>4740</v>
      </c>
      <c r="D30" s="179" t="s">
        <v>558</v>
      </c>
      <c r="E30" s="340">
        <f t="shared" si="4"/>
        <v>950</v>
      </c>
      <c r="F30" s="96">
        <f t="shared" si="5"/>
        <v>950</v>
      </c>
      <c r="G30" s="340"/>
      <c r="H30" s="340"/>
      <c r="I30" s="340">
        <v>950</v>
      </c>
      <c r="J30" s="343"/>
      <c r="K30" s="343"/>
      <c r="L30" s="340"/>
    </row>
    <row r="31" spans="1:12" s="335" customFormat="1" ht="31.5">
      <c r="A31" s="339"/>
      <c r="B31" s="339"/>
      <c r="C31" s="178">
        <v>4750</v>
      </c>
      <c r="D31" s="179" t="s">
        <v>576</v>
      </c>
      <c r="E31" s="340">
        <f t="shared" si="4"/>
        <v>1000</v>
      </c>
      <c r="F31" s="96">
        <f t="shared" si="5"/>
        <v>1000</v>
      </c>
      <c r="G31" s="340"/>
      <c r="H31" s="340"/>
      <c r="I31" s="340">
        <v>1000</v>
      </c>
      <c r="J31" s="343"/>
      <c r="K31" s="343"/>
      <c r="L31" s="340"/>
    </row>
    <row r="32" spans="1:12" s="335" customFormat="1" ht="31.5">
      <c r="A32" s="67"/>
      <c r="B32" s="67"/>
      <c r="C32" s="344">
        <v>6050</v>
      </c>
      <c r="D32" s="1" t="s">
        <v>661</v>
      </c>
      <c r="E32" s="61">
        <f>L32</f>
        <v>127700</v>
      </c>
      <c r="F32" s="61"/>
      <c r="G32" s="61"/>
      <c r="H32" s="61"/>
      <c r="I32" s="61"/>
      <c r="J32" s="61"/>
      <c r="K32" s="61"/>
      <c r="L32" s="61">
        <f>'zał 11'!E46</f>
        <v>127700</v>
      </c>
    </row>
    <row r="33" spans="1:12" s="335" customFormat="1" ht="31.5">
      <c r="A33" s="336"/>
      <c r="B33" s="336">
        <v>80103</v>
      </c>
      <c r="C33" s="337"/>
      <c r="D33" s="338" t="s">
        <v>553</v>
      </c>
      <c r="E33" s="88">
        <f aca="true" t="shared" si="6" ref="E33:L33">SUM(E34:E43)</f>
        <v>51509.4812</v>
      </c>
      <c r="F33" s="88">
        <f t="shared" si="6"/>
        <v>51509.4812</v>
      </c>
      <c r="G33" s="88">
        <f t="shared" si="6"/>
        <v>37608</v>
      </c>
      <c r="H33" s="88">
        <f t="shared" si="6"/>
        <v>6634.0512</v>
      </c>
      <c r="I33" s="88">
        <f t="shared" si="6"/>
        <v>3905.43</v>
      </c>
      <c r="J33" s="88">
        <f t="shared" si="6"/>
        <v>3362</v>
      </c>
      <c r="K33" s="88">
        <f t="shared" si="6"/>
        <v>0</v>
      </c>
      <c r="L33" s="88">
        <f t="shared" si="6"/>
        <v>0</v>
      </c>
    </row>
    <row r="34" spans="1:12" s="335" customFormat="1" ht="31.5">
      <c r="A34" s="345"/>
      <c r="B34" s="345"/>
      <c r="C34" s="178">
        <v>3020</v>
      </c>
      <c r="D34" s="179" t="s">
        <v>713</v>
      </c>
      <c r="E34" s="340">
        <f aca="true" t="shared" si="7" ref="E34:E43">F34</f>
        <v>3362</v>
      </c>
      <c r="F34" s="340">
        <f>J34</f>
        <v>3362</v>
      </c>
      <c r="G34" s="341"/>
      <c r="H34" s="341"/>
      <c r="I34" s="341"/>
      <c r="J34" s="340">
        <v>3362</v>
      </c>
      <c r="K34" s="342"/>
      <c r="L34" s="341"/>
    </row>
    <row r="35" spans="1:12" s="335" customFormat="1" ht="15.75">
      <c r="A35" s="345"/>
      <c r="B35" s="345"/>
      <c r="C35" s="178">
        <v>4010</v>
      </c>
      <c r="D35" s="179" t="s">
        <v>545</v>
      </c>
      <c r="E35" s="340">
        <f t="shared" si="7"/>
        <v>33803</v>
      </c>
      <c r="F35" s="340">
        <f>G35</f>
        <v>33803</v>
      </c>
      <c r="G35" s="340">
        <v>33803</v>
      </c>
      <c r="H35" s="340"/>
      <c r="I35" s="340"/>
      <c r="J35" s="343"/>
      <c r="K35" s="343"/>
      <c r="L35" s="340"/>
    </row>
    <row r="36" spans="1:12" s="335" customFormat="1" ht="15.75">
      <c r="A36" s="345"/>
      <c r="B36" s="345"/>
      <c r="C36" s="178">
        <v>4040</v>
      </c>
      <c r="D36" s="179" t="s">
        <v>562</v>
      </c>
      <c r="E36" s="340">
        <f t="shared" si="7"/>
        <v>3805</v>
      </c>
      <c r="F36" s="340">
        <f>G36</f>
        <v>3805</v>
      </c>
      <c r="G36" s="340">
        <v>3805</v>
      </c>
      <c r="H36" s="340"/>
      <c r="I36" s="340"/>
      <c r="J36" s="343"/>
      <c r="K36" s="343"/>
      <c r="L36" s="340"/>
    </row>
    <row r="37" spans="1:12" s="335" customFormat="1" ht="15.75">
      <c r="A37" s="345"/>
      <c r="B37" s="345"/>
      <c r="C37" s="178">
        <v>4110</v>
      </c>
      <c r="D37" s="179" t="s">
        <v>563</v>
      </c>
      <c r="E37" s="340">
        <f t="shared" si="7"/>
        <v>5712.6552</v>
      </c>
      <c r="F37" s="340">
        <f>H37</f>
        <v>5712.6552</v>
      </c>
      <c r="G37" s="340"/>
      <c r="H37" s="61">
        <f>(G35+G36)*0.1519</f>
        <v>5712.6552</v>
      </c>
      <c r="I37" s="340"/>
      <c r="J37" s="343"/>
      <c r="K37" s="343"/>
      <c r="L37" s="340"/>
    </row>
    <row r="38" spans="1:12" s="335" customFormat="1" ht="15.75">
      <c r="A38" s="345"/>
      <c r="B38" s="345"/>
      <c r="C38" s="178">
        <v>4120</v>
      </c>
      <c r="D38" s="179" t="s">
        <v>564</v>
      </c>
      <c r="E38" s="340">
        <f t="shared" si="7"/>
        <v>921.3960000000001</v>
      </c>
      <c r="F38" s="340">
        <f>H38</f>
        <v>921.3960000000001</v>
      </c>
      <c r="G38" s="340"/>
      <c r="H38" s="61">
        <f>(G36+G35)*0.0245</f>
        <v>921.3960000000001</v>
      </c>
      <c r="I38" s="340"/>
      <c r="J38" s="343"/>
      <c r="K38" s="343"/>
      <c r="L38" s="340"/>
    </row>
    <row r="39" spans="1:12" s="335" customFormat="1" ht="15.75">
      <c r="A39" s="345"/>
      <c r="B39" s="345"/>
      <c r="C39" s="178">
        <v>4210</v>
      </c>
      <c r="D39" s="179" t="s">
        <v>555</v>
      </c>
      <c r="E39" s="340">
        <f t="shared" si="7"/>
        <v>440</v>
      </c>
      <c r="F39" s="340">
        <f>I39</f>
        <v>440</v>
      </c>
      <c r="G39" s="340"/>
      <c r="H39" s="340"/>
      <c r="I39" s="340">
        <v>440</v>
      </c>
      <c r="J39" s="343"/>
      <c r="K39" s="343"/>
      <c r="L39" s="340"/>
    </row>
    <row r="40" spans="1:12" s="335" customFormat="1" ht="31.5">
      <c r="A40" s="345"/>
      <c r="B40" s="345"/>
      <c r="C40" s="178">
        <v>4240</v>
      </c>
      <c r="D40" s="179" t="s">
        <v>556</v>
      </c>
      <c r="E40" s="340">
        <f t="shared" si="7"/>
        <v>700</v>
      </c>
      <c r="F40" s="340">
        <f>I40</f>
        <v>700</v>
      </c>
      <c r="G40" s="340"/>
      <c r="H40" s="340"/>
      <c r="I40" s="340">
        <v>700</v>
      </c>
      <c r="J40" s="343"/>
      <c r="K40" s="343"/>
      <c r="L40" s="340"/>
    </row>
    <row r="41" spans="1:12" s="335" customFormat="1" ht="15.75">
      <c r="A41" s="345"/>
      <c r="B41" s="345"/>
      <c r="C41" s="178">
        <v>4280</v>
      </c>
      <c r="D41" s="179" t="s">
        <v>568</v>
      </c>
      <c r="E41" s="340">
        <f t="shared" si="7"/>
        <v>50</v>
      </c>
      <c r="F41" s="340">
        <f>I41</f>
        <v>50</v>
      </c>
      <c r="G41" s="340"/>
      <c r="H41" s="340"/>
      <c r="I41" s="340">
        <v>50</v>
      </c>
      <c r="J41" s="343"/>
      <c r="K41" s="343"/>
      <c r="L41" s="340"/>
    </row>
    <row r="42" spans="1:12" s="335" customFormat="1" ht="31.5">
      <c r="A42" s="345"/>
      <c r="B42" s="345"/>
      <c r="C42" s="178">
        <v>4440</v>
      </c>
      <c r="D42" s="179" t="s">
        <v>718</v>
      </c>
      <c r="E42" s="340">
        <f t="shared" si="7"/>
        <v>2515.43</v>
      </c>
      <c r="F42" s="340">
        <f>I42</f>
        <v>2515.43</v>
      </c>
      <c r="G42" s="340"/>
      <c r="H42" s="340"/>
      <c r="I42" s="321">
        <f>2515.43*1</f>
        <v>2515.43</v>
      </c>
      <c r="J42" s="343"/>
      <c r="K42" s="343"/>
      <c r="L42" s="340"/>
    </row>
    <row r="43" spans="1:12" s="335" customFormat="1" ht="31.5">
      <c r="A43" s="345"/>
      <c r="B43" s="345"/>
      <c r="C43" s="178">
        <v>4740</v>
      </c>
      <c r="D43" s="179" t="s">
        <v>558</v>
      </c>
      <c r="E43" s="340">
        <f t="shared" si="7"/>
        <v>200</v>
      </c>
      <c r="F43" s="340">
        <f>I43</f>
        <v>200</v>
      </c>
      <c r="G43" s="340"/>
      <c r="H43" s="340"/>
      <c r="I43" s="340">
        <v>200</v>
      </c>
      <c r="J43" s="343"/>
      <c r="K43" s="343"/>
      <c r="L43" s="340"/>
    </row>
    <row r="44" spans="1:12" s="335" customFormat="1" ht="15.75">
      <c r="A44" s="338"/>
      <c r="B44" s="336">
        <v>80146</v>
      </c>
      <c r="C44" s="337"/>
      <c r="D44" s="338" t="s">
        <v>584</v>
      </c>
      <c r="E44" s="88">
        <f aca="true" t="shared" si="8" ref="E44:L44">SUM(E45:E49)</f>
        <v>2116</v>
      </c>
      <c r="F44" s="88">
        <f t="shared" si="8"/>
        <v>2116</v>
      </c>
      <c r="G44" s="88">
        <f t="shared" si="8"/>
        <v>0</v>
      </c>
      <c r="H44" s="88">
        <f t="shared" si="8"/>
        <v>0</v>
      </c>
      <c r="I44" s="88">
        <f t="shared" si="8"/>
        <v>2116</v>
      </c>
      <c r="J44" s="88">
        <f t="shared" si="8"/>
        <v>0</v>
      </c>
      <c r="K44" s="88">
        <f t="shared" si="8"/>
        <v>0</v>
      </c>
      <c r="L44" s="88">
        <f t="shared" si="8"/>
        <v>0</v>
      </c>
    </row>
    <row r="45" spans="1:12" s="335" customFormat="1" ht="15.75">
      <c r="A45" s="345"/>
      <c r="B45" s="345"/>
      <c r="C45" s="346">
        <v>4210</v>
      </c>
      <c r="D45" s="2" t="s">
        <v>555</v>
      </c>
      <c r="E45" s="340">
        <f>F45</f>
        <v>0</v>
      </c>
      <c r="F45" s="96">
        <v>0</v>
      </c>
      <c r="G45" s="340"/>
      <c r="H45" s="340"/>
      <c r="I45" s="340"/>
      <c r="J45" s="343"/>
      <c r="K45" s="343"/>
      <c r="L45" s="340"/>
    </row>
    <row r="46" spans="1:12" s="335" customFormat="1" ht="31.5">
      <c r="A46" s="345"/>
      <c r="B46" s="345"/>
      <c r="C46" s="347">
        <v>4240</v>
      </c>
      <c r="D46" s="348" t="s">
        <v>556</v>
      </c>
      <c r="E46" s="340">
        <f>F46</f>
        <v>0</v>
      </c>
      <c r="F46" s="96">
        <v>0</v>
      </c>
      <c r="G46" s="340"/>
      <c r="H46" s="340"/>
      <c r="I46" s="340"/>
      <c r="J46" s="343"/>
      <c r="K46" s="343"/>
      <c r="L46" s="340"/>
    </row>
    <row r="47" spans="1:12" s="335" customFormat="1" ht="15.75">
      <c r="A47" s="345"/>
      <c r="B47" s="345"/>
      <c r="C47" s="346">
        <v>4300</v>
      </c>
      <c r="D47" s="2" t="s">
        <v>569</v>
      </c>
      <c r="E47" s="340">
        <f>F47</f>
        <v>900</v>
      </c>
      <c r="F47" s="340">
        <f>I47</f>
        <v>900</v>
      </c>
      <c r="G47" s="340"/>
      <c r="H47" s="340"/>
      <c r="I47" s="340">
        <v>900</v>
      </c>
      <c r="J47" s="343"/>
      <c r="K47" s="343"/>
      <c r="L47" s="340"/>
    </row>
    <row r="48" spans="1:12" s="335" customFormat="1" ht="15.75">
      <c r="A48" s="345"/>
      <c r="B48" s="345"/>
      <c r="C48" s="346">
        <v>4410</v>
      </c>
      <c r="D48" s="2" t="s">
        <v>572</v>
      </c>
      <c r="E48" s="340">
        <f>F48</f>
        <v>716</v>
      </c>
      <c r="F48" s="340">
        <f>I48</f>
        <v>716</v>
      </c>
      <c r="G48" s="340"/>
      <c r="H48" s="340"/>
      <c r="I48" s="340">
        <v>716</v>
      </c>
      <c r="J48" s="343"/>
      <c r="K48" s="343"/>
      <c r="L48" s="340"/>
    </row>
    <row r="49" spans="1:12" s="335" customFormat="1" ht="31.5">
      <c r="A49" s="345"/>
      <c r="B49" s="345"/>
      <c r="C49" s="346">
        <v>4700</v>
      </c>
      <c r="D49" s="2" t="s">
        <v>519</v>
      </c>
      <c r="E49" s="340">
        <f>F49</f>
        <v>500</v>
      </c>
      <c r="F49" s="340">
        <f>I49</f>
        <v>500</v>
      </c>
      <c r="G49" s="340"/>
      <c r="H49" s="340"/>
      <c r="I49" s="340">
        <v>500</v>
      </c>
      <c r="J49" s="343"/>
      <c r="K49" s="343"/>
      <c r="L49" s="340"/>
    </row>
    <row r="50" spans="1:12" s="335" customFormat="1" ht="15.75" customHeight="1">
      <c r="A50" s="778" t="s">
        <v>726</v>
      </c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</row>
    <row r="51" spans="1:12" s="335" customFormat="1" ht="15.75">
      <c r="A51" s="338"/>
      <c r="B51" s="349">
        <v>80148</v>
      </c>
      <c r="C51" s="350"/>
      <c r="D51" s="351" t="s">
        <v>410</v>
      </c>
      <c r="E51" s="184">
        <f aca="true" t="shared" si="9" ref="E51:L51">SUM(E52:E66)</f>
        <v>73372.7176</v>
      </c>
      <c r="F51" s="184">
        <f t="shared" si="9"/>
        <v>73372.7176</v>
      </c>
      <c r="G51" s="184">
        <f t="shared" si="9"/>
        <v>19834</v>
      </c>
      <c r="H51" s="184">
        <f t="shared" si="9"/>
        <v>3498.7176</v>
      </c>
      <c r="I51" s="184">
        <f t="shared" si="9"/>
        <v>0</v>
      </c>
      <c r="J51" s="184">
        <f t="shared" si="9"/>
        <v>250</v>
      </c>
      <c r="K51" s="184">
        <f t="shared" si="9"/>
        <v>0</v>
      </c>
      <c r="L51" s="184">
        <f t="shared" si="9"/>
        <v>0</v>
      </c>
    </row>
    <row r="52" spans="1:12" s="335" customFormat="1" ht="31.5">
      <c r="A52" s="352"/>
      <c r="B52" s="352"/>
      <c r="C52" s="178">
        <v>3020</v>
      </c>
      <c r="D52" s="179" t="s">
        <v>713</v>
      </c>
      <c r="E52" s="340">
        <f aca="true" t="shared" si="10" ref="E52:E65">F52</f>
        <v>250</v>
      </c>
      <c r="F52" s="340">
        <f>J52</f>
        <v>250</v>
      </c>
      <c r="G52" s="341"/>
      <c r="H52" s="341"/>
      <c r="I52" s="353"/>
      <c r="J52" s="340">
        <v>250</v>
      </c>
      <c r="K52" s="354"/>
      <c r="L52" s="353"/>
    </row>
    <row r="53" spans="1:12" s="335" customFormat="1" ht="15.75">
      <c r="A53" s="352"/>
      <c r="B53" s="352"/>
      <c r="C53" s="178">
        <v>4010</v>
      </c>
      <c r="D53" s="179" t="s">
        <v>545</v>
      </c>
      <c r="E53" s="340">
        <f t="shared" si="10"/>
        <v>18315</v>
      </c>
      <c r="F53" s="340">
        <f>G53</f>
        <v>18315</v>
      </c>
      <c r="G53" s="340">
        <v>18315</v>
      </c>
      <c r="H53" s="340"/>
      <c r="I53" s="355"/>
      <c r="J53" s="356"/>
      <c r="K53" s="356"/>
      <c r="L53" s="355"/>
    </row>
    <row r="54" spans="1:12" s="335" customFormat="1" ht="15.75">
      <c r="A54" s="352"/>
      <c r="B54" s="352"/>
      <c r="C54" s="178">
        <v>4040</v>
      </c>
      <c r="D54" s="179" t="s">
        <v>562</v>
      </c>
      <c r="E54" s="340">
        <f t="shared" si="10"/>
        <v>1519</v>
      </c>
      <c r="F54" s="340">
        <f>G54</f>
        <v>1519</v>
      </c>
      <c r="G54" s="340">
        <v>1519</v>
      </c>
      <c r="H54" s="340"/>
      <c r="I54" s="355"/>
      <c r="J54" s="356"/>
      <c r="K54" s="356"/>
      <c r="L54" s="355"/>
    </row>
    <row r="55" spans="1:12" s="335" customFormat="1" ht="15.75">
      <c r="A55" s="352"/>
      <c r="B55" s="352"/>
      <c r="C55" s="178">
        <v>4110</v>
      </c>
      <c r="D55" s="179" t="s">
        <v>563</v>
      </c>
      <c r="E55" s="340">
        <f t="shared" si="10"/>
        <v>3012.7846</v>
      </c>
      <c r="F55" s="340">
        <f>H55</f>
        <v>3012.7846</v>
      </c>
      <c r="G55" s="340"/>
      <c r="H55" s="61">
        <f>(G53+G54)*0.1519</f>
        <v>3012.7846</v>
      </c>
      <c r="I55" s="355"/>
      <c r="J55" s="356"/>
      <c r="K55" s="356"/>
      <c r="L55" s="355"/>
    </row>
    <row r="56" spans="1:12" s="335" customFormat="1" ht="15.75">
      <c r="A56" s="352"/>
      <c r="B56" s="352"/>
      <c r="C56" s="178">
        <v>4120</v>
      </c>
      <c r="D56" s="179" t="s">
        <v>564</v>
      </c>
      <c r="E56" s="340">
        <f t="shared" si="10"/>
        <v>485.933</v>
      </c>
      <c r="F56" s="340">
        <f>H56</f>
        <v>485.933</v>
      </c>
      <c r="G56" s="340"/>
      <c r="H56" s="61">
        <f>(G54+G53)*0.0245</f>
        <v>485.933</v>
      </c>
      <c r="I56" s="355"/>
      <c r="J56" s="356"/>
      <c r="K56" s="356"/>
      <c r="L56" s="355"/>
    </row>
    <row r="57" spans="1:12" s="335" customFormat="1" ht="15.75">
      <c r="A57" s="352"/>
      <c r="B57" s="352"/>
      <c r="C57" s="178">
        <v>4210</v>
      </c>
      <c r="D57" s="179" t="s">
        <v>555</v>
      </c>
      <c r="E57" s="340">
        <f t="shared" si="10"/>
        <v>6950</v>
      </c>
      <c r="F57" s="340">
        <v>6950</v>
      </c>
      <c r="G57" s="340"/>
      <c r="H57" s="340"/>
      <c r="I57" s="340"/>
      <c r="J57" s="356"/>
      <c r="K57" s="356"/>
      <c r="L57" s="355"/>
    </row>
    <row r="58" spans="1:12" s="335" customFormat="1" ht="15.75">
      <c r="A58" s="352"/>
      <c r="B58" s="352"/>
      <c r="C58" s="178">
        <v>4220</v>
      </c>
      <c r="D58" s="179" t="s">
        <v>566</v>
      </c>
      <c r="E58" s="340">
        <f t="shared" si="10"/>
        <v>37840</v>
      </c>
      <c r="F58" s="340">
        <v>37840</v>
      </c>
      <c r="G58" s="340"/>
      <c r="H58" s="340"/>
      <c r="I58" s="340"/>
      <c r="J58" s="356"/>
      <c r="K58" s="356"/>
      <c r="L58" s="355"/>
    </row>
    <row r="59" spans="1:12" s="335" customFormat="1" ht="15.75">
      <c r="A59" s="352"/>
      <c r="B59" s="352"/>
      <c r="C59" s="178">
        <v>4270</v>
      </c>
      <c r="D59" s="179" t="s">
        <v>507</v>
      </c>
      <c r="E59" s="340">
        <f t="shared" si="10"/>
        <v>3000</v>
      </c>
      <c r="F59" s="340">
        <v>3000</v>
      </c>
      <c r="G59" s="340"/>
      <c r="H59" s="340"/>
      <c r="I59" s="340"/>
      <c r="J59" s="356"/>
      <c r="K59" s="356"/>
      <c r="L59" s="355"/>
    </row>
    <row r="60" spans="1:12" s="335" customFormat="1" ht="15.75">
      <c r="A60" s="352"/>
      <c r="B60" s="352"/>
      <c r="C60" s="178">
        <v>4280</v>
      </c>
      <c r="D60" s="179" t="s">
        <v>568</v>
      </c>
      <c r="E60" s="340">
        <f t="shared" si="10"/>
        <v>50</v>
      </c>
      <c r="F60" s="340">
        <v>50</v>
      </c>
      <c r="G60" s="340"/>
      <c r="H60" s="340"/>
      <c r="I60" s="340"/>
      <c r="J60" s="356"/>
      <c r="K60" s="356"/>
      <c r="L60" s="355"/>
    </row>
    <row r="61" spans="1:12" s="335" customFormat="1" ht="15.75">
      <c r="A61" s="352"/>
      <c r="B61" s="352"/>
      <c r="C61" s="178">
        <v>4300</v>
      </c>
      <c r="D61" s="179" t="s">
        <v>569</v>
      </c>
      <c r="E61" s="340">
        <f t="shared" si="10"/>
        <v>400</v>
      </c>
      <c r="F61" s="340">
        <v>400</v>
      </c>
      <c r="G61" s="340"/>
      <c r="H61" s="340"/>
      <c r="I61" s="340"/>
      <c r="J61" s="356"/>
      <c r="K61" s="356"/>
      <c r="L61" s="355"/>
    </row>
    <row r="62" spans="1:12" s="335" customFormat="1" ht="31.5">
      <c r="A62" s="352"/>
      <c r="B62" s="352"/>
      <c r="C62" s="178">
        <v>4440</v>
      </c>
      <c r="D62" s="179" t="s">
        <v>718</v>
      </c>
      <c r="E62" s="340">
        <f t="shared" si="10"/>
        <v>750</v>
      </c>
      <c r="F62" s="340">
        <v>750</v>
      </c>
      <c r="G62" s="340"/>
      <c r="H62" s="340"/>
      <c r="I62" s="340"/>
      <c r="J62" s="356"/>
      <c r="K62" s="356"/>
      <c r="L62" s="355"/>
    </row>
    <row r="63" spans="1:12" s="335" customFormat="1" ht="31.5">
      <c r="A63" s="352"/>
      <c r="B63" s="352"/>
      <c r="C63" s="180">
        <v>4700</v>
      </c>
      <c r="D63" s="181" t="s">
        <v>575</v>
      </c>
      <c r="E63" s="96">
        <f t="shared" si="10"/>
        <v>0</v>
      </c>
      <c r="F63" s="96">
        <v>0</v>
      </c>
      <c r="G63" s="340"/>
      <c r="H63" s="340"/>
      <c r="I63" s="340"/>
      <c r="J63" s="356"/>
      <c r="K63" s="356"/>
      <c r="L63" s="355"/>
    </row>
    <row r="64" spans="1:12" s="335" customFormat="1" ht="31.5">
      <c r="A64" s="352"/>
      <c r="B64" s="352"/>
      <c r="C64" s="178">
        <v>4740</v>
      </c>
      <c r="D64" s="179" t="s">
        <v>558</v>
      </c>
      <c r="E64" s="340">
        <f t="shared" si="10"/>
        <v>300</v>
      </c>
      <c r="F64" s="340">
        <v>300</v>
      </c>
      <c r="G64" s="340"/>
      <c r="H64" s="340"/>
      <c r="I64" s="340"/>
      <c r="J64" s="356"/>
      <c r="K64" s="356"/>
      <c r="L64" s="355"/>
    </row>
    <row r="65" spans="1:12" s="335" customFormat="1" ht="31.5">
      <c r="A65" s="336"/>
      <c r="B65" s="336"/>
      <c r="C65" s="178">
        <v>4750</v>
      </c>
      <c r="D65" s="179" t="s">
        <v>576</v>
      </c>
      <c r="E65" s="340">
        <f t="shared" si="10"/>
        <v>500</v>
      </c>
      <c r="F65" s="340">
        <v>500</v>
      </c>
      <c r="G65" s="340"/>
      <c r="H65" s="340"/>
      <c r="I65" s="340"/>
      <c r="J65" s="88">
        <f>SUM(J68:J68)</f>
        <v>0</v>
      </c>
      <c r="K65" s="88">
        <f>SUM(K68:K68)</f>
        <v>0</v>
      </c>
      <c r="L65" s="88">
        <f>SUM(L68:L68)</f>
        <v>0</v>
      </c>
    </row>
    <row r="66" spans="1:12" s="335" customFormat="1" ht="15.75">
      <c r="A66" s="336"/>
      <c r="B66" s="336"/>
      <c r="C66" s="357">
        <v>6060</v>
      </c>
      <c r="D66" s="181" t="s">
        <v>719</v>
      </c>
      <c r="E66" s="340">
        <f>L66</f>
        <v>0</v>
      </c>
      <c r="F66" s="340"/>
      <c r="G66" s="340"/>
      <c r="H66" s="340"/>
      <c r="I66" s="88"/>
      <c r="J66" s="88"/>
      <c r="K66" s="88"/>
      <c r="L66" s="88">
        <v>0</v>
      </c>
    </row>
    <row r="67" spans="1:12" s="335" customFormat="1" ht="15.75">
      <c r="A67" s="336"/>
      <c r="B67" s="336">
        <v>80195</v>
      </c>
      <c r="C67" s="346"/>
      <c r="D67" s="338" t="s">
        <v>306</v>
      </c>
      <c r="E67" s="88">
        <f aca="true" t="shared" si="11" ref="E67:L67">SUM(E68:E68)</f>
        <v>13882.709047499999</v>
      </c>
      <c r="F67" s="88">
        <f t="shared" si="11"/>
        <v>13882.709047499999</v>
      </c>
      <c r="G67" s="88">
        <f t="shared" si="11"/>
        <v>0</v>
      </c>
      <c r="H67" s="88">
        <f t="shared" si="11"/>
        <v>0</v>
      </c>
      <c r="I67" s="88">
        <f t="shared" si="11"/>
        <v>0</v>
      </c>
      <c r="J67" s="88">
        <f t="shared" si="11"/>
        <v>0</v>
      </c>
      <c r="K67" s="88">
        <f t="shared" si="11"/>
        <v>0</v>
      </c>
      <c r="L67" s="88">
        <f t="shared" si="11"/>
        <v>0</v>
      </c>
    </row>
    <row r="68" spans="1:12" s="335" customFormat="1" ht="31.5">
      <c r="A68" s="352"/>
      <c r="B68" s="352"/>
      <c r="C68" s="347">
        <v>4440</v>
      </c>
      <c r="D68" s="348" t="s">
        <v>718</v>
      </c>
      <c r="E68" s="355">
        <f>F68</f>
        <v>13882.709047499999</v>
      </c>
      <c r="F68" s="321">
        <f>(6*2666.77*0.0625+12*1053.1)*1.018</f>
        <v>13882.709047499999</v>
      </c>
      <c r="G68" s="355"/>
      <c r="H68" s="355"/>
      <c r="I68" s="321"/>
      <c r="J68" s="356"/>
      <c r="K68" s="356"/>
      <c r="L68" s="355"/>
    </row>
    <row r="69" spans="1:12" s="326" customFormat="1" ht="1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</row>
    <row r="70" spans="1:12" s="326" customFormat="1" ht="1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</row>
    <row r="71" spans="1:12" s="326" customFormat="1" ht="1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</row>
    <row r="72" spans="1:12" s="326" customFormat="1" ht="1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</row>
    <row r="73" spans="1:12" s="326" customFormat="1" ht="1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</row>
    <row r="74" spans="1:12" s="326" customFormat="1" ht="1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</row>
    <row r="75" spans="1:12" s="326" customFormat="1" ht="1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</row>
    <row r="76" spans="1:12" s="326" customFormat="1" ht="1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</row>
    <row r="77" spans="1:12" s="326" customFormat="1" ht="1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</row>
    <row r="78" spans="1:12" s="326" customFormat="1" ht="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</row>
    <row r="79" spans="1:12" s="326" customFormat="1" ht="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</row>
    <row r="80" spans="1:12" s="326" customFormat="1" ht="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</row>
    <row r="81" spans="1:12" s="326" customFormat="1" ht="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</row>
    <row r="82" spans="1:12" s="326" customFormat="1" ht="1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</row>
    <row r="83" spans="1:12" s="326" customFormat="1" ht="1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</row>
    <row r="84" spans="1:12" s="326" customFormat="1" ht="1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</row>
    <row r="85" s="326" customFormat="1" ht="15"/>
    <row r="86" s="326" customFormat="1" ht="15"/>
    <row r="87" s="326" customFormat="1" ht="15"/>
    <row r="88" s="326" customFormat="1" ht="15"/>
    <row r="89" s="326" customFormat="1" ht="15"/>
    <row r="90" s="326" customFormat="1" ht="15"/>
    <row r="91" s="326" customFormat="1" ht="15"/>
    <row r="92" s="326" customFormat="1" ht="15"/>
    <row r="93" s="326" customFormat="1" ht="15"/>
    <row r="94" s="326" customFormat="1" ht="15"/>
    <row r="95" s="326" customFormat="1" ht="15"/>
    <row r="96" s="326" customFormat="1" ht="15"/>
    <row r="97" s="326" customFormat="1" ht="15"/>
    <row r="98" s="326" customFormat="1" ht="15"/>
    <row r="99" s="326" customFormat="1" ht="15"/>
    <row r="100" s="326" customFormat="1" ht="15"/>
    <row r="101" s="326" customFormat="1" ht="15"/>
    <row r="102" s="326" customFormat="1" ht="15"/>
    <row r="103" s="326" customFormat="1" ht="15"/>
    <row r="104" s="326" customFormat="1" ht="15"/>
    <row r="105" s="326" customFormat="1" ht="15"/>
    <row r="106" s="326" customFormat="1" ht="15"/>
    <row r="107" s="326" customFormat="1" ht="15"/>
    <row r="108" s="326" customFormat="1" ht="15"/>
    <row r="109" s="326" customFormat="1" ht="15"/>
    <row r="110" s="326" customFormat="1" ht="15"/>
    <row r="111" s="326" customFormat="1" ht="15"/>
    <row r="112" s="326" customFormat="1" ht="15"/>
    <row r="113" s="326" customFormat="1" ht="15"/>
    <row r="114" s="326" customFormat="1" ht="15"/>
    <row r="115" s="326" customFormat="1" ht="15"/>
    <row r="116" s="326" customFormat="1" ht="15"/>
    <row r="117" s="326" customFormat="1" ht="15"/>
    <row r="118" s="326" customFormat="1" ht="15"/>
    <row r="119" s="326" customFormat="1" ht="15"/>
    <row r="120" s="326" customFormat="1" ht="15"/>
    <row r="121" s="326" customFormat="1" ht="15"/>
    <row r="122" s="326" customFormat="1" ht="15"/>
    <row r="123" s="326" customFormat="1" ht="15"/>
    <row r="124" s="326" customFormat="1" ht="15"/>
    <row r="125" s="326" customFormat="1" ht="15"/>
    <row r="126" s="326" customFormat="1" ht="15"/>
    <row r="127" s="326" customFormat="1" ht="15"/>
    <row r="128" s="326" customFormat="1" ht="15"/>
    <row r="129" s="326" customFormat="1" ht="15"/>
    <row r="130" s="326" customFormat="1" ht="15"/>
    <row r="131" s="326" customFormat="1" ht="15"/>
    <row r="132" s="326" customFormat="1" ht="15"/>
    <row r="133" s="326" customFormat="1" ht="15"/>
    <row r="134" s="326" customFormat="1" ht="15"/>
    <row r="135" s="326" customFormat="1" ht="15"/>
    <row r="136" s="326" customFormat="1" ht="15"/>
    <row r="137" s="326" customFormat="1" ht="15"/>
    <row r="138" s="326" customFormat="1" ht="15"/>
    <row r="139" s="326" customFormat="1" ht="15"/>
    <row r="140" s="326" customFormat="1" ht="15"/>
    <row r="141" s="326" customFormat="1" ht="15"/>
    <row r="142" s="326" customFormat="1" ht="15"/>
    <row r="143" s="326" customFormat="1" ht="15"/>
    <row r="144" s="326" customFormat="1" ht="15"/>
    <row r="145" s="326" customFormat="1" ht="15"/>
    <row r="146" s="326" customFormat="1" ht="15"/>
    <row r="147" s="326" customFormat="1" ht="15"/>
    <row r="148" s="326" customFormat="1" ht="15"/>
    <row r="149" s="326" customFormat="1" ht="15"/>
    <row r="150" s="326" customFormat="1" ht="15"/>
    <row r="151" s="326" customFormat="1" ht="15"/>
    <row r="152" s="326" customFormat="1" ht="15"/>
    <row r="153" s="326" customFormat="1" ht="15"/>
    <row r="154" s="326" customFormat="1" ht="15"/>
    <row r="155" s="326" customFormat="1" ht="15"/>
    <row r="156" s="326" customFormat="1" ht="15"/>
    <row r="157" s="326" customFormat="1" ht="15"/>
    <row r="158" s="326" customFormat="1" ht="15"/>
    <row r="159" s="326" customFormat="1" ht="15"/>
    <row r="160" s="326" customFormat="1" ht="15"/>
    <row r="161" s="326" customFormat="1" ht="15"/>
    <row r="162" s="326" customFormat="1" ht="15"/>
    <row r="163" s="326" customFormat="1" ht="15"/>
    <row r="164" s="326" customFormat="1" ht="15"/>
    <row r="165" s="326" customFormat="1" ht="15"/>
    <row r="166" s="326" customFormat="1" ht="15"/>
  </sheetData>
  <mergeCells count="14">
    <mergeCell ref="G5:K5"/>
    <mergeCell ref="L5:L6"/>
    <mergeCell ref="A25:L25"/>
    <mergeCell ref="A50:L50"/>
    <mergeCell ref="A1:L1"/>
    <mergeCell ref="A2:K2"/>
    <mergeCell ref="A3:D3"/>
    <mergeCell ref="A4:A6"/>
    <mergeCell ref="B4:B6"/>
    <mergeCell ref="C4:C6"/>
    <mergeCell ref="D4:D6"/>
    <mergeCell ref="E4:E6"/>
    <mergeCell ref="F4:L4"/>
    <mergeCell ref="F5:F6"/>
  </mergeCells>
  <printOptions/>
  <pageMargins left="0.5902777777777778" right="0.5902777777777778" top="0.5902777777777778" bottom="0.5673611111111112" header="0.5118055555555556" footer="0.40069444444444446"/>
  <pageSetup horizontalDpi="300" verticalDpi="300" orientation="landscape" paperSize="9" scale="92" r:id="rId1"/>
  <headerFooter alignWithMargins="0">
    <oddFooter>&amp;C&amp;"Times New Roman,Normalny"&amp;12Strona &amp;P z &amp;N</oddFooter>
  </headerFooter>
  <rowBreaks count="2" manualBreakCount="2">
    <brk id="24" max="255" man="1"/>
    <brk id="4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showGridLines="0" defaultGridColor="0" view="pageBreakPreview" zoomScale="90" zoomScaleSheetLayoutView="90" colorId="15" workbookViewId="0" topLeftCell="A1">
      <selection activeCell="A2" sqref="A2"/>
    </sheetView>
  </sheetViews>
  <sheetFormatPr defaultColWidth="9.00390625" defaultRowHeight="12.75"/>
  <cols>
    <col min="1" max="1" width="6.25390625" style="325" customWidth="1"/>
    <col min="2" max="2" width="7.25390625" style="325" customWidth="1"/>
    <col min="3" max="3" width="6.25390625" style="325" customWidth="1"/>
    <col min="4" max="4" width="39.125" style="359" customWidth="1"/>
    <col min="5" max="7" width="10.75390625" style="325" customWidth="1"/>
    <col min="8" max="8" width="9.00390625" style="325" customWidth="1"/>
    <col min="9" max="9" width="9.125" style="325" customWidth="1"/>
    <col min="10" max="10" width="7.75390625" style="325" customWidth="1"/>
    <col min="11" max="11" width="7.25390625" style="325" customWidth="1"/>
    <col min="12" max="12" width="8.00390625" style="325" customWidth="1"/>
    <col min="13" max="16384" width="9.00390625" style="325" customWidth="1"/>
  </cols>
  <sheetData>
    <row r="1" spans="1:12" ht="13.5" customHeight="1">
      <c r="A1" s="792" t="s">
        <v>727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7:12" ht="15">
      <c r="G2" s="360"/>
      <c r="H2" s="360"/>
      <c r="I2" s="360"/>
      <c r="J2" s="360"/>
      <c r="K2" s="360"/>
      <c r="L2" s="360"/>
    </row>
    <row r="3" spans="1:12" ht="18.75" customHeight="1">
      <c r="A3" s="793" t="s">
        <v>710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5" spans="1:12" ht="13.5" customHeight="1">
      <c r="A5" s="794" t="s">
        <v>728</v>
      </c>
      <c r="B5" s="794"/>
      <c r="C5" s="794"/>
      <c r="D5" s="794"/>
      <c r="K5" s="795" t="s">
        <v>274</v>
      </c>
      <c r="L5" s="795"/>
    </row>
    <row r="6" spans="1:12" s="361" customFormat="1" ht="13.5" customHeight="1">
      <c r="A6" s="781" t="s">
        <v>275</v>
      </c>
      <c r="B6" s="781" t="s">
        <v>296</v>
      </c>
      <c r="C6" s="781" t="s">
        <v>297</v>
      </c>
      <c r="D6" s="781" t="s">
        <v>711</v>
      </c>
      <c r="E6" s="781" t="s">
        <v>438</v>
      </c>
      <c r="F6" s="796" t="s">
        <v>300</v>
      </c>
      <c r="G6" s="796"/>
      <c r="H6" s="796"/>
      <c r="I6" s="796"/>
      <c r="J6" s="796"/>
      <c r="K6" s="796"/>
      <c r="L6" s="796"/>
    </row>
    <row r="7" spans="1:12" s="361" customFormat="1" ht="12.75" customHeight="1">
      <c r="A7" s="781"/>
      <c r="B7" s="781"/>
      <c r="C7" s="781"/>
      <c r="D7" s="781"/>
      <c r="E7" s="781"/>
      <c r="F7" s="781" t="s">
        <v>636</v>
      </c>
      <c r="G7" s="784" t="s">
        <v>216</v>
      </c>
      <c r="H7" s="784"/>
      <c r="I7" s="784"/>
      <c r="J7" s="784"/>
      <c r="K7" s="784"/>
      <c r="L7" s="781" t="s">
        <v>465</v>
      </c>
    </row>
    <row r="8" spans="1:12" s="361" customFormat="1" ht="84">
      <c r="A8" s="781"/>
      <c r="B8" s="781"/>
      <c r="C8" s="781"/>
      <c r="D8" s="781"/>
      <c r="E8" s="781"/>
      <c r="F8" s="781"/>
      <c r="G8" s="316" t="s">
        <v>472</v>
      </c>
      <c r="H8" s="316" t="s">
        <v>721</v>
      </c>
      <c r="I8" s="200" t="s">
        <v>474</v>
      </c>
      <c r="J8" s="318" t="s">
        <v>468</v>
      </c>
      <c r="K8" s="316" t="s">
        <v>722</v>
      </c>
      <c r="L8" s="781"/>
    </row>
    <row r="9" spans="1:12" ht="10.5" customHeight="1">
      <c r="A9" s="362">
        <v>1</v>
      </c>
      <c r="B9" s="362">
        <v>2</v>
      </c>
      <c r="C9" s="362">
        <v>3</v>
      </c>
      <c r="D9" s="363">
        <v>4</v>
      </c>
      <c r="E9" s="362">
        <v>5</v>
      </c>
      <c r="F9" s="362">
        <v>6</v>
      </c>
      <c r="G9" s="362">
        <v>7</v>
      </c>
      <c r="H9" s="362">
        <v>8</v>
      </c>
      <c r="I9" s="362">
        <v>9</v>
      </c>
      <c r="J9" s="362">
        <v>10</v>
      </c>
      <c r="K9" s="362">
        <v>11</v>
      </c>
      <c r="L9" s="362">
        <v>12</v>
      </c>
    </row>
    <row r="10" spans="1:12" ht="15.75">
      <c r="A10" s="364">
        <v>801</v>
      </c>
      <c r="B10" s="364"/>
      <c r="C10" s="364"/>
      <c r="D10" s="365" t="s">
        <v>399</v>
      </c>
      <c r="E10" s="366">
        <f aca="true" t="shared" si="0" ref="E10:L10">E11+E34+E40</f>
        <v>1663893.909455</v>
      </c>
      <c r="F10" s="366">
        <f t="shared" si="0"/>
        <v>1663893.909455</v>
      </c>
      <c r="G10" s="366">
        <f t="shared" si="0"/>
        <v>1039102</v>
      </c>
      <c r="H10" s="366">
        <f t="shared" si="0"/>
        <v>183227.0328</v>
      </c>
      <c r="I10" s="366">
        <f t="shared" si="0"/>
        <v>421643.73776</v>
      </c>
      <c r="J10" s="366">
        <f t="shared" si="0"/>
        <v>5477</v>
      </c>
      <c r="K10" s="366">
        <f t="shared" si="0"/>
        <v>0</v>
      </c>
      <c r="L10" s="366">
        <f t="shared" si="0"/>
        <v>0</v>
      </c>
    </row>
    <row r="11" spans="1:12" ht="15.75">
      <c r="A11" s="367"/>
      <c r="B11" s="367">
        <v>80104</v>
      </c>
      <c r="C11" s="367"/>
      <c r="D11" s="368" t="s">
        <v>559</v>
      </c>
      <c r="E11" s="278">
        <f aca="true" t="shared" si="1" ref="E11:L11">SUM(E12:E33)</f>
        <v>1649449.7705599999</v>
      </c>
      <c r="F11" s="278">
        <f t="shared" si="1"/>
        <v>1649449.7705599999</v>
      </c>
      <c r="G11" s="278">
        <f t="shared" si="1"/>
        <v>1039102</v>
      </c>
      <c r="H11" s="278">
        <f t="shared" si="1"/>
        <v>183227.0328</v>
      </c>
      <c r="I11" s="278">
        <f t="shared" si="1"/>
        <v>421643.73776</v>
      </c>
      <c r="J11" s="278">
        <f t="shared" si="1"/>
        <v>5477</v>
      </c>
      <c r="K11" s="278">
        <f t="shared" si="1"/>
        <v>0</v>
      </c>
      <c r="L11" s="278">
        <f t="shared" si="1"/>
        <v>0</v>
      </c>
    </row>
    <row r="12" spans="1:12" ht="31.5">
      <c r="A12" s="65"/>
      <c r="B12" s="65"/>
      <c r="C12" s="67">
        <v>3020</v>
      </c>
      <c r="D12" s="87" t="s">
        <v>561</v>
      </c>
      <c r="E12" s="61">
        <f aca="true" t="shared" si="2" ref="E12:E26">F12</f>
        <v>5477</v>
      </c>
      <c r="F12" s="61">
        <f>J12</f>
        <v>5477</v>
      </c>
      <c r="G12" s="61"/>
      <c r="H12" s="61"/>
      <c r="I12" s="369"/>
      <c r="J12" s="61">
        <v>5477</v>
      </c>
      <c r="K12" s="369"/>
      <c r="L12" s="369"/>
    </row>
    <row r="13" spans="1:12" ht="15.75">
      <c r="A13" s="67"/>
      <c r="B13" s="67"/>
      <c r="C13" s="67">
        <v>4010</v>
      </c>
      <c r="D13" s="87" t="s">
        <v>545</v>
      </c>
      <c r="E13" s="61">
        <f t="shared" si="2"/>
        <v>962882</v>
      </c>
      <c r="F13" s="61">
        <f>G13</f>
        <v>962882</v>
      </c>
      <c r="G13" s="61">
        <f>675792+287090</f>
        <v>962882</v>
      </c>
      <c r="H13" s="61"/>
      <c r="I13" s="369"/>
      <c r="J13" s="369"/>
      <c r="K13" s="369"/>
      <c r="L13" s="369"/>
    </row>
    <row r="14" spans="1:12" ht="15.75">
      <c r="A14" s="67"/>
      <c r="B14" s="67"/>
      <c r="C14" s="67">
        <v>4040</v>
      </c>
      <c r="D14" s="87" t="s">
        <v>562</v>
      </c>
      <c r="E14" s="61">
        <f t="shared" si="2"/>
        <v>75820</v>
      </c>
      <c r="F14" s="61">
        <f>G14</f>
        <v>75820</v>
      </c>
      <c r="G14" s="61">
        <v>75820</v>
      </c>
      <c r="H14" s="61"/>
      <c r="I14" s="369"/>
      <c r="J14" s="369"/>
      <c r="K14" s="369"/>
      <c r="L14" s="369"/>
    </row>
    <row r="15" spans="1:12" ht="15.75">
      <c r="A15" s="67"/>
      <c r="B15" s="67"/>
      <c r="C15" s="67">
        <v>4110</v>
      </c>
      <c r="D15" s="87" t="s">
        <v>563</v>
      </c>
      <c r="E15" s="61">
        <f t="shared" si="2"/>
        <v>157778.8338</v>
      </c>
      <c r="F15" s="61">
        <f>H15</f>
        <v>157778.8338</v>
      </c>
      <c r="G15" s="61"/>
      <c r="H15" s="61">
        <f>(G13+G14)*0.1519</f>
        <v>157778.8338</v>
      </c>
      <c r="I15" s="369"/>
      <c r="J15" s="369"/>
      <c r="K15" s="369"/>
      <c r="L15" s="369"/>
    </row>
    <row r="16" spans="1:12" ht="15.75">
      <c r="A16" s="67"/>
      <c r="B16" s="67"/>
      <c r="C16" s="67">
        <v>4120</v>
      </c>
      <c r="D16" s="87" t="s">
        <v>564</v>
      </c>
      <c r="E16" s="61">
        <f t="shared" si="2"/>
        <v>25448.199</v>
      </c>
      <c r="F16" s="61">
        <f>H16</f>
        <v>25448.199</v>
      </c>
      <c r="G16" s="61"/>
      <c r="H16" s="61">
        <f>(G14+G13)*0.0245</f>
        <v>25448.199</v>
      </c>
      <c r="I16" s="369"/>
      <c r="J16" s="369"/>
      <c r="K16" s="369"/>
      <c r="L16" s="369"/>
    </row>
    <row r="17" spans="1:12" ht="15.75">
      <c r="A17" s="67"/>
      <c r="B17" s="67"/>
      <c r="C17" s="67">
        <v>4170</v>
      </c>
      <c r="D17" s="87" t="s">
        <v>565</v>
      </c>
      <c r="E17" s="61">
        <f t="shared" si="2"/>
        <v>400</v>
      </c>
      <c r="F17" s="61">
        <v>400</v>
      </c>
      <c r="G17" s="61">
        <v>400</v>
      </c>
      <c r="H17" s="61"/>
      <c r="I17" s="369"/>
      <c r="J17" s="369"/>
      <c r="K17" s="369"/>
      <c r="L17" s="369"/>
    </row>
    <row r="18" spans="1:12" ht="15.75">
      <c r="A18" s="67"/>
      <c r="B18" s="67"/>
      <c r="C18" s="67">
        <v>4210</v>
      </c>
      <c r="D18" s="87" t="s">
        <v>555</v>
      </c>
      <c r="E18" s="61">
        <f t="shared" si="2"/>
        <v>20000</v>
      </c>
      <c r="F18" s="61">
        <f aca="true" t="shared" si="3" ref="F18:F26">I18</f>
        <v>20000</v>
      </c>
      <c r="G18" s="61"/>
      <c r="H18" s="61"/>
      <c r="I18" s="61">
        <v>20000</v>
      </c>
      <c r="J18" s="369"/>
      <c r="K18" s="369"/>
      <c r="L18" s="369"/>
    </row>
    <row r="19" spans="1:12" ht="15.75">
      <c r="A19" s="67"/>
      <c r="B19" s="67"/>
      <c r="C19" s="67">
        <v>4220</v>
      </c>
      <c r="D19" s="87" t="s">
        <v>566</v>
      </c>
      <c r="E19" s="61">
        <f t="shared" si="2"/>
        <v>153100</v>
      </c>
      <c r="F19" s="61">
        <f t="shared" si="3"/>
        <v>153100</v>
      </c>
      <c r="G19" s="61"/>
      <c r="H19" s="61"/>
      <c r="I19" s="61">
        <v>153100</v>
      </c>
      <c r="J19" s="369"/>
      <c r="K19" s="369"/>
      <c r="L19" s="369"/>
    </row>
    <row r="20" spans="1:12" ht="31.5">
      <c r="A20" s="67"/>
      <c r="B20" s="67"/>
      <c r="C20" s="67">
        <v>4240</v>
      </c>
      <c r="D20" s="87" t="s">
        <v>556</v>
      </c>
      <c r="E20" s="61">
        <f t="shared" si="2"/>
        <v>3500</v>
      </c>
      <c r="F20" s="61">
        <f t="shared" si="3"/>
        <v>3500</v>
      </c>
      <c r="G20" s="61"/>
      <c r="H20" s="61"/>
      <c r="I20" s="61">
        <v>3500</v>
      </c>
      <c r="J20" s="369"/>
      <c r="K20" s="369"/>
      <c r="L20" s="369"/>
    </row>
    <row r="21" spans="1:12" ht="15.75">
      <c r="A21" s="67"/>
      <c r="B21" s="67"/>
      <c r="C21" s="67">
        <v>4260</v>
      </c>
      <c r="D21" s="87" t="s">
        <v>567</v>
      </c>
      <c r="E21" s="61">
        <f t="shared" si="2"/>
        <v>155000</v>
      </c>
      <c r="F21" s="61">
        <f t="shared" si="3"/>
        <v>155000</v>
      </c>
      <c r="G21" s="61"/>
      <c r="H21" s="61"/>
      <c r="I21" s="61">
        <v>155000</v>
      </c>
      <c r="J21" s="369"/>
      <c r="K21" s="369"/>
      <c r="L21" s="369"/>
    </row>
    <row r="22" spans="1:12" ht="15.75">
      <c r="A22" s="67"/>
      <c r="B22" s="67"/>
      <c r="C22" s="67">
        <v>4270</v>
      </c>
      <c r="D22" s="87" t="s">
        <v>507</v>
      </c>
      <c r="E22" s="61">
        <f t="shared" si="2"/>
        <v>10000</v>
      </c>
      <c r="F22" s="61">
        <f t="shared" si="3"/>
        <v>10000</v>
      </c>
      <c r="G22" s="61"/>
      <c r="H22" s="61"/>
      <c r="I22" s="61">
        <v>10000</v>
      </c>
      <c r="J22" s="369"/>
      <c r="K22" s="369"/>
      <c r="L22" s="369"/>
    </row>
    <row r="23" spans="1:12" ht="15.75">
      <c r="A23" s="67"/>
      <c r="B23" s="67"/>
      <c r="C23" s="67">
        <v>4280</v>
      </c>
      <c r="D23" s="87" t="s">
        <v>568</v>
      </c>
      <c r="E23" s="61">
        <f t="shared" si="2"/>
        <v>1450</v>
      </c>
      <c r="F23" s="61">
        <f t="shared" si="3"/>
        <v>1450</v>
      </c>
      <c r="G23" s="61"/>
      <c r="H23" s="61"/>
      <c r="I23" s="61">
        <v>1450</v>
      </c>
      <c r="J23" s="369"/>
      <c r="K23" s="369"/>
      <c r="L23" s="369"/>
    </row>
    <row r="24" spans="1:12" ht="15.75">
      <c r="A24" s="67"/>
      <c r="B24" s="67"/>
      <c r="C24" s="67">
        <v>4300</v>
      </c>
      <c r="D24" s="87" t="s">
        <v>569</v>
      </c>
      <c r="E24" s="61">
        <f t="shared" si="2"/>
        <v>20000</v>
      </c>
      <c r="F24" s="61">
        <f t="shared" si="3"/>
        <v>20000</v>
      </c>
      <c r="G24" s="61"/>
      <c r="H24" s="61"/>
      <c r="I24" s="61">
        <v>20000</v>
      </c>
      <c r="J24" s="369"/>
      <c r="K24" s="369"/>
      <c r="L24" s="369"/>
    </row>
    <row r="25" spans="1:12" ht="15.75">
      <c r="A25" s="67"/>
      <c r="B25" s="67"/>
      <c r="C25" s="67">
        <v>4350</v>
      </c>
      <c r="D25" s="87" t="s">
        <v>570</v>
      </c>
      <c r="E25" s="61">
        <f t="shared" si="2"/>
        <v>1075</v>
      </c>
      <c r="F25" s="61">
        <f t="shared" si="3"/>
        <v>1075</v>
      </c>
      <c r="G25" s="61"/>
      <c r="H25" s="61"/>
      <c r="I25" s="61">
        <v>1075</v>
      </c>
      <c r="J25" s="369"/>
      <c r="K25" s="369"/>
      <c r="L25" s="369"/>
    </row>
    <row r="26" spans="1:12" ht="31.5">
      <c r="A26" s="67"/>
      <c r="B26" s="67"/>
      <c r="C26" s="67">
        <v>4370</v>
      </c>
      <c r="D26" s="87" t="s">
        <v>571</v>
      </c>
      <c r="E26" s="61">
        <f t="shared" si="2"/>
        <v>2200</v>
      </c>
      <c r="F26" s="61">
        <f t="shared" si="3"/>
        <v>2200</v>
      </c>
      <c r="G26" s="61"/>
      <c r="H26" s="61"/>
      <c r="I26" s="61">
        <v>2200</v>
      </c>
      <c r="J26" s="369"/>
      <c r="K26" s="369"/>
      <c r="L26" s="369"/>
    </row>
    <row r="27" spans="1:12" ht="15.75" customHeight="1">
      <c r="A27" s="797" t="s">
        <v>729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</row>
    <row r="28" spans="1:12" ht="15.75">
      <c r="A28" s="67"/>
      <c r="B28" s="67"/>
      <c r="C28" s="67">
        <v>4410</v>
      </c>
      <c r="D28" s="87" t="s">
        <v>572</v>
      </c>
      <c r="E28" s="61">
        <f aca="true" t="shared" si="4" ref="E28:E33">F28</f>
        <v>400</v>
      </c>
      <c r="F28" s="61">
        <f aca="true" t="shared" si="5" ref="F28:F33">I28</f>
        <v>400</v>
      </c>
      <c r="G28" s="61"/>
      <c r="H28" s="61"/>
      <c r="I28" s="61">
        <v>400</v>
      </c>
      <c r="J28" s="369"/>
      <c r="K28" s="369"/>
      <c r="L28" s="369"/>
    </row>
    <row r="29" spans="1:12" ht="15.75">
      <c r="A29" s="67"/>
      <c r="B29" s="67"/>
      <c r="C29" s="67">
        <v>4430</v>
      </c>
      <c r="D29" s="87" t="s">
        <v>573</v>
      </c>
      <c r="E29" s="61">
        <f t="shared" si="4"/>
        <v>719</v>
      </c>
      <c r="F29" s="61">
        <f t="shared" si="5"/>
        <v>719</v>
      </c>
      <c r="G29" s="61"/>
      <c r="H29" s="61"/>
      <c r="I29" s="61">
        <v>719</v>
      </c>
      <c r="J29" s="369"/>
      <c r="K29" s="369"/>
      <c r="L29" s="369"/>
    </row>
    <row r="30" spans="1:12" ht="31.5">
      <c r="A30" s="67"/>
      <c r="B30" s="67"/>
      <c r="C30" s="67">
        <v>4440</v>
      </c>
      <c r="D30" s="87" t="s">
        <v>574</v>
      </c>
      <c r="E30" s="61">
        <f t="shared" si="4"/>
        <v>51074.737759999996</v>
      </c>
      <c r="F30" s="61">
        <f t="shared" si="5"/>
        <v>51074.737759999996</v>
      </c>
      <c r="G30" s="61"/>
      <c r="H30" s="61"/>
      <c r="I30" s="321">
        <f>1000.04*11.25+2515.43*15.832</f>
        <v>51074.737759999996</v>
      </c>
      <c r="J30" s="369"/>
      <c r="K30" s="369"/>
      <c r="L30" s="369"/>
    </row>
    <row r="31" spans="1:12" ht="31.5">
      <c r="A31" s="67"/>
      <c r="B31" s="67"/>
      <c r="C31" s="67">
        <v>4700</v>
      </c>
      <c r="D31" s="179" t="s">
        <v>575</v>
      </c>
      <c r="E31" s="61">
        <f t="shared" si="4"/>
        <v>500</v>
      </c>
      <c r="F31" s="61">
        <f t="shared" si="5"/>
        <v>500</v>
      </c>
      <c r="G31" s="61"/>
      <c r="H31" s="61"/>
      <c r="I31" s="61">
        <v>500</v>
      </c>
      <c r="J31" s="369"/>
      <c r="K31" s="369"/>
      <c r="L31" s="369"/>
    </row>
    <row r="32" spans="1:12" ht="47.25">
      <c r="A32" s="67"/>
      <c r="B32" s="67"/>
      <c r="C32" s="67">
        <v>4740</v>
      </c>
      <c r="D32" s="179" t="s">
        <v>558</v>
      </c>
      <c r="E32" s="61">
        <f t="shared" si="4"/>
        <v>1625</v>
      </c>
      <c r="F32" s="61">
        <f t="shared" si="5"/>
        <v>1625</v>
      </c>
      <c r="G32" s="61"/>
      <c r="H32" s="61"/>
      <c r="I32" s="61">
        <v>1625</v>
      </c>
      <c r="J32" s="369"/>
      <c r="K32" s="369"/>
      <c r="L32" s="369"/>
    </row>
    <row r="33" spans="1:12" ht="31.5">
      <c r="A33" s="67"/>
      <c r="B33" s="67"/>
      <c r="C33" s="67">
        <v>4750</v>
      </c>
      <c r="D33" s="179" t="s">
        <v>576</v>
      </c>
      <c r="E33" s="61">
        <f t="shared" si="4"/>
        <v>1000</v>
      </c>
      <c r="F33" s="61">
        <f t="shared" si="5"/>
        <v>1000</v>
      </c>
      <c r="G33" s="61"/>
      <c r="H33" s="61"/>
      <c r="I33" s="61">
        <v>1000</v>
      </c>
      <c r="J33" s="369"/>
      <c r="K33" s="369"/>
      <c r="L33" s="369"/>
    </row>
    <row r="34" spans="1:12" ht="31.5">
      <c r="A34" s="370"/>
      <c r="B34" s="367">
        <v>80146</v>
      </c>
      <c r="C34" s="367"/>
      <c r="D34" s="368" t="s">
        <v>584</v>
      </c>
      <c r="E34" s="278">
        <f aca="true" t="shared" si="6" ref="E34:L34">SUM(E35:E39)</f>
        <v>4600</v>
      </c>
      <c r="F34" s="278">
        <f t="shared" si="6"/>
        <v>4600</v>
      </c>
      <c r="G34" s="278">
        <f t="shared" si="6"/>
        <v>0</v>
      </c>
      <c r="H34" s="278">
        <f t="shared" si="6"/>
        <v>0</v>
      </c>
      <c r="I34" s="278">
        <f t="shared" si="6"/>
        <v>0</v>
      </c>
      <c r="J34" s="278">
        <f t="shared" si="6"/>
        <v>0</v>
      </c>
      <c r="K34" s="278">
        <f t="shared" si="6"/>
        <v>0</v>
      </c>
      <c r="L34" s="278">
        <f t="shared" si="6"/>
        <v>0</v>
      </c>
    </row>
    <row r="35" spans="1:12" ht="15.75">
      <c r="A35" s="65"/>
      <c r="B35" s="65"/>
      <c r="C35" s="67">
        <v>4210</v>
      </c>
      <c r="D35" s="87" t="s">
        <v>555</v>
      </c>
      <c r="E35" s="61">
        <f>F35</f>
        <v>500</v>
      </c>
      <c r="F35" s="61">
        <v>500</v>
      </c>
      <c r="G35" s="61"/>
      <c r="H35" s="61"/>
      <c r="I35" s="61"/>
      <c r="J35" s="369"/>
      <c r="K35" s="369"/>
      <c r="L35" s="369"/>
    </row>
    <row r="36" spans="1:12" ht="31.5">
      <c r="A36" s="65"/>
      <c r="B36" s="65"/>
      <c r="C36" s="180">
        <v>4240</v>
      </c>
      <c r="D36" s="181" t="s">
        <v>556</v>
      </c>
      <c r="E36" s="61">
        <f>F36</f>
        <v>0</v>
      </c>
      <c r="F36" s="61">
        <f>I36</f>
        <v>0</v>
      </c>
      <c r="G36" s="61"/>
      <c r="H36" s="61"/>
      <c r="I36" s="61">
        <v>0</v>
      </c>
      <c r="J36" s="369"/>
      <c r="K36" s="369"/>
      <c r="L36" s="369"/>
    </row>
    <row r="37" spans="1:12" ht="15.75">
      <c r="A37" s="67"/>
      <c r="B37" s="67"/>
      <c r="C37" s="67">
        <v>4300</v>
      </c>
      <c r="D37" s="87" t="s">
        <v>569</v>
      </c>
      <c r="E37" s="61">
        <f>F37</f>
        <v>1600</v>
      </c>
      <c r="F37" s="61">
        <v>1600</v>
      </c>
      <c r="G37" s="61"/>
      <c r="H37" s="61"/>
      <c r="I37" s="61"/>
      <c r="J37" s="369"/>
      <c r="K37" s="369"/>
      <c r="L37" s="369"/>
    </row>
    <row r="38" spans="1:12" ht="15.75">
      <c r="A38" s="67"/>
      <c r="B38" s="67"/>
      <c r="C38" s="67">
        <v>4410</v>
      </c>
      <c r="D38" s="87" t="s">
        <v>572</v>
      </c>
      <c r="E38" s="61">
        <f>F38</f>
        <v>1500</v>
      </c>
      <c r="F38" s="61">
        <v>1500</v>
      </c>
      <c r="G38" s="61"/>
      <c r="H38" s="61"/>
      <c r="I38" s="61"/>
      <c r="J38" s="369"/>
      <c r="K38" s="369"/>
      <c r="L38" s="369"/>
    </row>
    <row r="39" spans="1:12" ht="31.5">
      <c r="A39" s="67"/>
      <c r="B39" s="67"/>
      <c r="C39" s="67">
        <v>4700</v>
      </c>
      <c r="D39" s="179" t="s">
        <v>575</v>
      </c>
      <c r="E39" s="61">
        <f>F39</f>
        <v>1000</v>
      </c>
      <c r="F39" s="61">
        <v>1000</v>
      </c>
      <c r="G39" s="61"/>
      <c r="H39" s="61"/>
      <c r="I39" s="61"/>
      <c r="J39" s="369"/>
      <c r="K39" s="369"/>
      <c r="L39" s="369"/>
    </row>
    <row r="40" spans="1:12" ht="15.75">
      <c r="A40" s="367"/>
      <c r="B40" s="367">
        <v>80195</v>
      </c>
      <c r="C40" s="367"/>
      <c r="D40" s="368" t="s">
        <v>306</v>
      </c>
      <c r="E40" s="278">
        <f>SUM(E41:E41)</f>
        <v>9844.138895</v>
      </c>
      <c r="F40" s="278">
        <f>SUM(F41:F41)</f>
        <v>9844.138895</v>
      </c>
      <c r="G40" s="278"/>
      <c r="H40" s="278"/>
      <c r="I40" s="278"/>
      <c r="J40" s="278"/>
      <c r="K40" s="278"/>
      <c r="L40" s="278"/>
    </row>
    <row r="41" spans="1:12" ht="31.5">
      <c r="A41" s="65"/>
      <c r="B41" s="65"/>
      <c r="C41" s="67">
        <v>4440</v>
      </c>
      <c r="D41" s="87" t="s">
        <v>574</v>
      </c>
      <c r="E41" s="61">
        <f>F41</f>
        <v>9844.138895</v>
      </c>
      <c r="F41" s="321">
        <f>(12*2666.77*0.0625+8*958.75)*1.018</f>
        <v>9844.138895</v>
      </c>
      <c r="G41" s="61"/>
      <c r="H41" s="61"/>
      <c r="I41" s="321"/>
      <c r="J41" s="369"/>
      <c r="K41" s="369"/>
      <c r="L41" s="369"/>
    </row>
  </sheetData>
  <mergeCells count="14">
    <mergeCell ref="A27:L27"/>
    <mergeCell ref="E6:E8"/>
    <mergeCell ref="F6:L6"/>
    <mergeCell ref="F7:F8"/>
    <mergeCell ref="G7:K7"/>
    <mergeCell ref="L7:L8"/>
    <mergeCell ref="A6:A8"/>
    <mergeCell ref="B6:B8"/>
    <mergeCell ref="C6:C8"/>
    <mergeCell ref="D6:D8"/>
    <mergeCell ref="A1:L1"/>
    <mergeCell ref="A3:L3"/>
    <mergeCell ref="A5:D5"/>
    <mergeCell ref="K5:L5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r:id="rId1"/>
  <headerFooter alignWithMargins="0"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defaultGridColor="0" view="pageBreakPreview" zoomScale="90" zoomScaleSheetLayoutView="90" colorId="15" workbookViewId="0" topLeftCell="A1">
      <selection activeCell="C20" sqref="C20"/>
    </sheetView>
  </sheetViews>
  <sheetFormatPr defaultColWidth="9.00390625" defaultRowHeight="12.75"/>
  <cols>
    <col min="1" max="1" width="7.375" style="24" customWidth="1"/>
    <col min="2" max="2" width="66.25390625" style="25" customWidth="1"/>
    <col min="3" max="3" width="15.625" style="26" customWidth="1"/>
    <col min="4" max="16384" width="11.625" style="27" customWidth="1"/>
  </cols>
  <sheetData>
    <row r="1" spans="1:3" ht="16.5" customHeight="1">
      <c r="A1" s="715" t="s">
        <v>272</v>
      </c>
      <c r="B1" s="715"/>
      <c r="C1" s="715"/>
    </row>
    <row r="2" spans="1:3" ht="16.5" customHeight="1">
      <c r="A2" s="716" t="s">
        <v>273</v>
      </c>
      <c r="B2" s="716"/>
      <c r="C2" s="716"/>
    </row>
    <row r="3" spans="1:3" ht="16.5">
      <c r="A3" s="716"/>
      <c r="B3" s="716"/>
      <c r="C3" s="716"/>
    </row>
    <row r="4" ht="16.5">
      <c r="C4" s="28" t="s">
        <v>274</v>
      </c>
    </row>
    <row r="5" spans="1:3" s="32" customFormat="1" ht="44.25" customHeight="1">
      <c r="A5" s="29" t="s">
        <v>275</v>
      </c>
      <c r="B5" s="30" t="s">
        <v>276</v>
      </c>
      <c r="C5" s="31" t="s">
        <v>277</v>
      </c>
    </row>
    <row r="6" spans="1:3" ht="16.5">
      <c r="A6" s="33" t="str">
        <f>'zał 2'!A7</f>
        <v>020</v>
      </c>
      <c r="B6" s="34" t="str">
        <f>'zał 2'!D7</f>
        <v>Leśnictwo</v>
      </c>
      <c r="C6" s="35">
        <f>'zał 2'!E7</f>
        <v>7300</v>
      </c>
    </row>
    <row r="7" spans="1:3" ht="16.5">
      <c r="A7" s="33" t="s">
        <v>278</v>
      </c>
      <c r="B7" s="34" t="str">
        <f>'zał 2'!D10</f>
        <v>Transport  i  łączność</v>
      </c>
      <c r="C7" s="35">
        <f>'zał 2'!E10</f>
        <v>1668250</v>
      </c>
    </row>
    <row r="8" spans="1:3" ht="16.5">
      <c r="A8" s="33" t="s">
        <v>279</v>
      </c>
      <c r="B8" s="34" t="str">
        <f>'zał 2'!D14</f>
        <v>Gospodarka  mieszkaniowa</v>
      </c>
      <c r="C8" s="35">
        <f>'zał 2'!E14</f>
        <v>2328530</v>
      </c>
    </row>
    <row r="9" spans="1:3" ht="16.5">
      <c r="A9" s="33" t="s">
        <v>280</v>
      </c>
      <c r="B9" s="34" t="str">
        <f>'zał 2'!D23</f>
        <v>Działalność usługowa </v>
      </c>
      <c r="C9" s="35">
        <f>'zał 2'!E23+'zał 4'!E6</f>
        <v>87500</v>
      </c>
    </row>
    <row r="10" spans="1:3" ht="16.5">
      <c r="A10" s="33" t="s">
        <v>281</v>
      </c>
      <c r="B10" s="34" t="str">
        <f>'zał 2'!D27</f>
        <v>Administracja  publiczna</v>
      </c>
      <c r="C10" s="35">
        <f>'zał 2'!E27+'zał 3'!F7</f>
        <v>216500</v>
      </c>
    </row>
    <row r="11" spans="1:3" ht="49.5">
      <c r="A11" s="33" t="s">
        <v>282</v>
      </c>
      <c r="B11" s="36" t="str">
        <f>'zał 2'!D35</f>
        <v>Dochody  od  osób  prawnych, od osób  fizycznych i  od  innych  jednostek  nieposiadających  osobowości  prawnej  oraz  wydatki  związane  z  ich  poborem   </v>
      </c>
      <c r="C11" s="37">
        <f>'zał 2'!E35</f>
        <v>18238279</v>
      </c>
    </row>
    <row r="12" spans="1:3" ht="16.5">
      <c r="A12" s="33" t="s">
        <v>283</v>
      </c>
      <c r="B12" s="34" t="str">
        <f>'zał 2'!D72</f>
        <v>Różne  rozliczenia</v>
      </c>
      <c r="C12" s="37">
        <f>'zał 2'!E72</f>
        <v>12998024</v>
      </c>
    </row>
    <row r="13" spans="1:3" ht="16.5">
      <c r="A13" s="33" t="s">
        <v>284</v>
      </c>
      <c r="B13" s="34" t="str">
        <f>'zał 2'!D80</f>
        <v>Oświata  i  wychowanie</v>
      </c>
      <c r="C13" s="37">
        <f>'zał 2'!E80</f>
        <v>1909512</v>
      </c>
    </row>
    <row r="14" spans="1:3" ht="16.5">
      <c r="A14" s="33" t="s">
        <v>285</v>
      </c>
      <c r="B14" s="34" t="str">
        <f>'zał 2'!D97</f>
        <v>Pomoc  społeczna</v>
      </c>
      <c r="C14" s="37">
        <f>'zał 2'!E97+'zał 3'!F10</f>
        <v>6777000</v>
      </c>
    </row>
    <row r="15" spans="1:3" ht="16.5">
      <c r="A15" s="33" t="s">
        <v>286</v>
      </c>
      <c r="B15" s="34" t="str">
        <f>'zał 2'!D114</f>
        <v>Gospodarka komunalna i ochrona  środowiska</v>
      </c>
      <c r="C15" s="37">
        <f>'zał 2'!E114</f>
        <v>3000</v>
      </c>
    </row>
    <row r="16" spans="1:3" ht="16.5">
      <c r="A16" s="33" t="s">
        <v>287</v>
      </c>
      <c r="B16" s="34" t="str">
        <f>'zał 2'!D117</f>
        <v>Kultura  i  ochrona  dziedzictwa  narodowego </v>
      </c>
      <c r="C16" s="37">
        <f>'zał 2'!E117</f>
        <v>5000</v>
      </c>
    </row>
    <row r="17" spans="1:3" ht="16.5">
      <c r="A17" s="33" t="s">
        <v>288</v>
      </c>
      <c r="B17" s="34" t="str">
        <f>'zał 2'!D120</f>
        <v>Kultura  fizyczna  i  sport</v>
      </c>
      <c r="C17" s="37">
        <f>'zał 2'!E120</f>
        <v>666000</v>
      </c>
    </row>
    <row r="18" spans="1:3" s="39" customFormat="1" ht="16.5" customHeight="1">
      <c r="A18" s="717" t="s">
        <v>289</v>
      </c>
      <c r="B18" s="717"/>
      <c r="C18" s="38">
        <f>SUM(C6:C17)</f>
        <v>44904895</v>
      </c>
    </row>
    <row r="19" spans="1:3" ht="16.5">
      <c r="A19" s="40" t="s">
        <v>290</v>
      </c>
      <c r="B19" s="34"/>
      <c r="C19" s="35"/>
    </row>
    <row r="20" spans="1:3" ht="16.5">
      <c r="A20" s="40"/>
      <c r="B20" s="34" t="s">
        <v>291</v>
      </c>
      <c r="C20" s="35">
        <f>'zał 2'!F124+'zał 3'!F19+'zał 4'!E9</f>
        <v>41489145</v>
      </c>
    </row>
    <row r="21" spans="1:3" ht="16.5">
      <c r="A21" s="40"/>
      <c r="B21" s="34" t="s">
        <v>292</v>
      </c>
      <c r="C21" s="35">
        <f>'zał 2'!G124</f>
        <v>3415750</v>
      </c>
    </row>
  </sheetData>
  <mergeCells count="3">
    <mergeCell ref="A1:C1"/>
    <mergeCell ref="A2:C3"/>
    <mergeCell ref="A18:B18"/>
  </mergeCells>
  <printOptions horizontalCentered="1"/>
  <pageMargins left="0.7875" right="0.5513888888888889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58"/>
  <sheetViews>
    <sheetView showGridLines="0" defaultGridColor="0" view="pageBreakPreview" zoomScale="90" zoomScaleSheetLayoutView="90" colorId="15" workbookViewId="0" topLeftCell="A1">
      <selection activeCell="A2" sqref="A2"/>
    </sheetView>
  </sheetViews>
  <sheetFormatPr defaultColWidth="9.00390625" defaultRowHeight="12.75"/>
  <cols>
    <col min="1" max="1" width="4.875" style="371" customWidth="1"/>
    <col min="2" max="2" width="7.00390625" style="371" customWidth="1"/>
    <col min="3" max="3" width="6.00390625" style="371" customWidth="1"/>
    <col min="4" max="4" width="43.875" style="372" customWidth="1"/>
    <col min="5" max="5" width="10.00390625" style="372" customWidth="1"/>
    <col min="6" max="6" width="9.875" style="372" customWidth="1"/>
    <col min="7" max="7" width="11.25390625" style="372" customWidth="1"/>
    <col min="8" max="8" width="9.00390625" style="372" customWidth="1"/>
    <col min="9" max="9" width="8.625" style="372" customWidth="1"/>
    <col min="10" max="10" width="7.375" style="372" customWidth="1"/>
    <col min="11" max="11" width="8.625" style="372" customWidth="1"/>
    <col min="12" max="12" width="10.125" style="372" customWidth="1"/>
    <col min="13" max="16384" width="8.875" style="371" customWidth="1"/>
  </cols>
  <sheetData>
    <row r="1" spans="1:256" s="373" customFormat="1" ht="21.75" customHeight="1">
      <c r="A1" s="798" t="s">
        <v>730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  <c r="IK1" s="371"/>
      <c r="IL1" s="371"/>
      <c r="IM1" s="371"/>
      <c r="IN1" s="371"/>
      <c r="IO1" s="371"/>
      <c r="IP1" s="371"/>
      <c r="IQ1" s="371"/>
      <c r="IR1" s="371"/>
      <c r="IS1" s="371"/>
      <c r="IT1" s="371"/>
      <c r="IU1" s="371"/>
      <c r="IV1" s="371"/>
    </row>
    <row r="2" spans="1:256" s="373" customFormat="1" ht="33" customHeight="1">
      <c r="A2" s="799" t="s">
        <v>710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  <c r="IV2" s="371"/>
    </row>
    <row r="3" spans="1:256" s="373" customFormat="1" ht="15.75" customHeight="1">
      <c r="A3" s="800" t="s">
        <v>731</v>
      </c>
      <c r="B3" s="800"/>
      <c r="C3" s="800"/>
      <c r="D3" s="800"/>
      <c r="E3" s="374"/>
      <c r="F3" s="374"/>
      <c r="G3" s="374"/>
      <c r="H3" s="374"/>
      <c r="I3" s="374"/>
      <c r="J3" s="374"/>
      <c r="K3" s="374"/>
      <c r="L3" s="375" t="s">
        <v>274</v>
      </c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</row>
    <row r="4" spans="1:256" s="378" customFormat="1" ht="13.5" customHeight="1">
      <c r="A4" s="801" t="s">
        <v>275</v>
      </c>
      <c r="B4" s="801" t="s">
        <v>296</v>
      </c>
      <c r="C4" s="802" t="s">
        <v>297</v>
      </c>
      <c r="D4" s="802" t="s">
        <v>711</v>
      </c>
      <c r="E4" s="803" t="s">
        <v>438</v>
      </c>
      <c r="F4" s="803" t="s">
        <v>300</v>
      </c>
      <c r="G4" s="803"/>
      <c r="H4" s="803"/>
      <c r="I4" s="803"/>
      <c r="J4" s="803"/>
      <c r="K4" s="803"/>
      <c r="L4" s="803"/>
      <c r="HY4" s="379"/>
      <c r="HZ4" s="379"/>
      <c r="IA4" s="379"/>
      <c r="IB4" s="379"/>
      <c r="IC4" s="379"/>
      <c r="ID4" s="379"/>
      <c r="IE4" s="379"/>
      <c r="IF4" s="379"/>
      <c r="IG4" s="379"/>
      <c r="IH4" s="379"/>
      <c r="II4" s="379"/>
      <c r="IJ4" s="379"/>
      <c r="IK4" s="379"/>
      <c r="IL4" s="379"/>
      <c r="IM4" s="379"/>
      <c r="IN4" s="379"/>
      <c r="IO4" s="379"/>
      <c r="IP4" s="379"/>
      <c r="IQ4" s="379"/>
      <c r="IR4" s="379"/>
      <c r="IS4" s="379"/>
      <c r="IT4" s="379"/>
      <c r="IU4" s="379"/>
      <c r="IV4" s="379"/>
    </row>
    <row r="5" spans="1:256" s="378" customFormat="1" ht="13.5" customHeight="1">
      <c r="A5" s="801"/>
      <c r="B5" s="801"/>
      <c r="C5" s="802"/>
      <c r="D5" s="802"/>
      <c r="E5" s="803"/>
      <c r="F5" s="803" t="s">
        <v>636</v>
      </c>
      <c r="G5" s="803" t="s">
        <v>216</v>
      </c>
      <c r="H5" s="803"/>
      <c r="I5" s="803"/>
      <c r="J5" s="803"/>
      <c r="K5" s="803"/>
      <c r="L5" s="803" t="s">
        <v>465</v>
      </c>
      <c r="HY5" s="379"/>
      <c r="HZ5" s="379"/>
      <c r="IA5" s="379"/>
      <c r="IB5" s="379"/>
      <c r="IC5" s="379"/>
      <c r="ID5" s="379"/>
      <c r="IE5" s="379"/>
      <c r="IF5" s="379"/>
      <c r="IG5" s="379"/>
      <c r="IH5" s="379"/>
      <c r="II5" s="379"/>
      <c r="IJ5" s="379"/>
      <c r="IK5" s="379"/>
      <c r="IL5" s="379"/>
      <c r="IM5" s="379"/>
      <c r="IN5" s="379"/>
      <c r="IO5" s="379"/>
      <c r="IP5" s="379"/>
      <c r="IQ5" s="379"/>
      <c r="IR5" s="379"/>
      <c r="IS5" s="379"/>
      <c r="IT5" s="379"/>
      <c r="IU5" s="379"/>
      <c r="IV5" s="379"/>
    </row>
    <row r="6" spans="1:256" s="378" customFormat="1" ht="84">
      <c r="A6" s="801"/>
      <c r="B6" s="801"/>
      <c r="C6" s="802"/>
      <c r="D6" s="802"/>
      <c r="E6" s="803"/>
      <c r="F6" s="803"/>
      <c r="G6" s="377" t="s">
        <v>472</v>
      </c>
      <c r="H6" s="377" t="s">
        <v>638</v>
      </c>
      <c r="I6" s="200" t="s">
        <v>474</v>
      </c>
      <c r="J6" s="318" t="s">
        <v>468</v>
      </c>
      <c r="K6" s="376" t="s">
        <v>712</v>
      </c>
      <c r="L6" s="803"/>
      <c r="HY6" s="379"/>
      <c r="HZ6" s="379"/>
      <c r="IA6" s="379"/>
      <c r="IB6" s="379"/>
      <c r="IC6" s="379"/>
      <c r="ID6" s="379"/>
      <c r="IE6" s="379"/>
      <c r="IF6" s="379"/>
      <c r="IG6" s="379"/>
      <c r="IH6" s="379"/>
      <c r="II6" s="379"/>
      <c r="IJ6" s="379"/>
      <c r="IK6" s="379"/>
      <c r="IL6" s="379"/>
      <c r="IM6" s="379"/>
      <c r="IN6" s="379"/>
      <c r="IO6" s="379"/>
      <c r="IP6" s="379"/>
      <c r="IQ6" s="379"/>
      <c r="IR6" s="379"/>
      <c r="IS6" s="379"/>
      <c r="IT6" s="379"/>
      <c r="IU6" s="379"/>
      <c r="IV6" s="379"/>
    </row>
    <row r="7" spans="1:256" s="381" customFormat="1" ht="15.75">
      <c r="A7" s="380">
        <v>1</v>
      </c>
      <c r="B7" s="380">
        <v>2</v>
      </c>
      <c r="C7" s="380">
        <v>3</v>
      </c>
      <c r="D7" s="380">
        <v>4</v>
      </c>
      <c r="E7" s="380">
        <v>5</v>
      </c>
      <c r="F7" s="380">
        <v>6</v>
      </c>
      <c r="G7" s="380">
        <v>7</v>
      </c>
      <c r="H7" s="380">
        <v>8</v>
      </c>
      <c r="I7" s="380">
        <v>9</v>
      </c>
      <c r="J7" s="380">
        <v>10</v>
      </c>
      <c r="K7" s="380">
        <v>11</v>
      </c>
      <c r="L7" s="380">
        <v>12</v>
      </c>
      <c r="HY7" s="382"/>
      <c r="HZ7" s="382"/>
      <c r="IA7" s="382"/>
      <c r="IB7" s="382"/>
      <c r="IC7" s="382"/>
      <c r="ID7" s="382"/>
      <c r="IE7" s="382"/>
      <c r="IF7" s="382"/>
      <c r="IG7" s="382"/>
      <c r="IH7" s="382"/>
      <c r="II7" s="382"/>
      <c r="IJ7" s="382"/>
      <c r="IK7" s="382"/>
      <c r="IL7" s="382"/>
      <c r="IM7" s="382"/>
      <c r="IN7" s="382"/>
      <c r="IO7" s="382"/>
      <c r="IP7" s="382"/>
      <c r="IQ7" s="382"/>
      <c r="IR7" s="382"/>
      <c r="IS7" s="382"/>
      <c r="IT7" s="382"/>
      <c r="IU7" s="382"/>
      <c r="IV7" s="382"/>
    </row>
    <row r="8" spans="1:256" s="373" customFormat="1" ht="15.75">
      <c r="A8" s="364">
        <v>801</v>
      </c>
      <c r="B8" s="364"/>
      <c r="C8" s="364"/>
      <c r="D8" s="365" t="s">
        <v>399</v>
      </c>
      <c r="E8" s="383">
        <f aca="true" t="shared" si="0" ref="E8:L8">E9+E34+E40+E57</f>
        <v>2174894.55658375</v>
      </c>
      <c r="F8" s="383">
        <f t="shared" si="0"/>
        <v>2169394.55658375</v>
      </c>
      <c r="G8" s="383">
        <f t="shared" si="0"/>
        <v>1366296</v>
      </c>
      <c r="H8" s="383">
        <f t="shared" si="0"/>
        <v>237826</v>
      </c>
      <c r="I8" s="383">
        <f t="shared" si="0"/>
        <v>344058.705</v>
      </c>
      <c r="J8" s="383">
        <f t="shared" si="0"/>
        <v>3630</v>
      </c>
      <c r="K8" s="383">
        <f t="shared" si="0"/>
        <v>0</v>
      </c>
      <c r="L8" s="383">
        <f t="shared" si="0"/>
        <v>5500</v>
      </c>
      <c r="HY8" s="371"/>
      <c r="HZ8" s="371"/>
      <c r="IA8" s="371"/>
      <c r="IB8" s="371"/>
      <c r="IC8" s="371"/>
      <c r="ID8" s="371"/>
      <c r="IE8" s="371"/>
      <c r="IF8" s="371"/>
      <c r="IG8" s="371"/>
      <c r="IH8" s="371"/>
      <c r="II8" s="371"/>
      <c r="IJ8" s="371"/>
      <c r="IK8" s="371"/>
      <c r="IL8" s="371"/>
      <c r="IM8" s="371"/>
      <c r="IN8" s="371"/>
      <c r="IO8" s="371"/>
      <c r="IP8" s="371"/>
      <c r="IQ8" s="371"/>
      <c r="IR8" s="371"/>
      <c r="IS8" s="371"/>
      <c r="IT8" s="371"/>
      <c r="IU8" s="371"/>
      <c r="IV8" s="371"/>
    </row>
    <row r="9" spans="1:256" s="373" customFormat="1" ht="15.75">
      <c r="A9" s="367"/>
      <c r="B9" s="367">
        <v>80104</v>
      </c>
      <c r="C9" s="367"/>
      <c r="D9" s="368" t="s">
        <v>559</v>
      </c>
      <c r="E9" s="384">
        <f aca="true" t="shared" si="1" ref="E9:L9">SUM(E10:E33)</f>
        <v>1816378.705</v>
      </c>
      <c r="F9" s="384">
        <f t="shared" si="1"/>
        <v>1816378.705</v>
      </c>
      <c r="G9" s="384">
        <f t="shared" si="1"/>
        <v>1254726</v>
      </c>
      <c r="H9" s="384">
        <f t="shared" si="1"/>
        <v>219264</v>
      </c>
      <c r="I9" s="384">
        <f t="shared" si="1"/>
        <v>339258.705</v>
      </c>
      <c r="J9" s="384">
        <f t="shared" si="1"/>
        <v>3130</v>
      </c>
      <c r="K9" s="384">
        <f t="shared" si="1"/>
        <v>0</v>
      </c>
      <c r="L9" s="384">
        <f t="shared" si="1"/>
        <v>0</v>
      </c>
      <c r="HY9" s="371"/>
      <c r="HZ9" s="371"/>
      <c r="IA9" s="371"/>
      <c r="IB9" s="371"/>
      <c r="IC9" s="371"/>
      <c r="ID9" s="371"/>
      <c r="IE9" s="371"/>
      <c r="IF9" s="371"/>
      <c r="IG9" s="371"/>
      <c r="IH9" s="371"/>
      <c r="II9" s="371"/>
      <c r="IJ9" s="371"/>
      <c r="IK9" s="371"/>
      <c r="IL9" s="371"/>
      <c r="IM9" s="371"/>
      <c r="IN9" s="371"/>
      <c r="IO9" s="371"/>
      <c r="IP9" s="371"/>
      <c r="IQ9" s="371"/>
      <c r="IR9" s="371"/>
      <c r="IS9" s="371"/>
      <c r="IT9" s="371"/>
      <c r="IU9" s="371"/>
      <c r="IV9" s="371"/>
    </row>
    <row r="10" spans="1:256" s="373" customFormat="1" ht="31.5">
      <c r="A10" s="385"/>
      <c r="B10" s="386"/>
      <c r="C10" s="357">
        <v>3020</v>
      </c>
      <c r="D10" s="181" t="s">
        <v>713</v>
      </c>
      <c r="E10" s="321">
        <f aca="true" t="shared" si="2" ref="E10:E24">F10</f>
        <v>3130</v>
      </c>
      <c r="F10" s="321">
        <f>J10</f>
        <v>3130</v>
      </c>
      <c r="G10" s="321"/>
      <c r="H10" s="321"/>
      <c r="I10" s="387"/>
      <c r="J10" s="321">
        <v>3130</v>
      </c>
      <c r="K10" s="388"/>
      <c r="L10" s="387"/>
      <c r="HY10" s="371"/>
      <c r="HZ10" s="371"/>
      <c r="IA10" s="371"/>
      <c r="IB10" s="371"/>
      <c r="IC10" s="371"/>
      <c r="ID10" s="371"/>
      <c r="IE10" s="371"/>
      <c r="IF10" s="371"/>
      <c r="IG10" s="371"/>
      <c r="IH10" s="371"/>
      <c r="II10" s="371"/>
      <c r="IJ10" s="371"/>
      <c r="IK10" s="371"/>
      <c r="IL10" s="371"/>
      <c r="IM10" s="371"/>
      <c r="IN10" s="371"/>
      <c r="IO10" s="371"/>
      <c r="IP10" s="371"/>
      <c r="IQ10" s="371"/>
      <c r="IR10" s="371"/>
      <c r="IS10" s="371"/>
      <c r="IT10" s="371"/>
      <c r="IU10" s="371"/>
      <c r="IV10" s="371"/>
    </row>
    <row r="11" spans="1:256" s="373" customFormat="1" ht="15.75">
      <c r="A11" s="385"/>
      <c r="B11" s="386"/>
      <c r="C11" s="357">
        <v>4010</v>
      </c>
      <c r="D11" s="181" t="s">
        <v>545</v>
      </c>
      <c r="E11" s="321">
        <f t="shared" si="2"/>
        <v>1158238</v>
      </c>
      <c r="F11" s="321">
        <f>G11</f>
        <v>1158238</v>
      </c>
      <c r="G11" s="321">
        <f>423519+4235+9674+720810</f>
        <v>1158238</v>
      </c>
      <c r="H11" s="321"/>
      <c r="I11" s="389"/>
      <c r="J11" s="390"/>
      <c r="K11" s="390"/>
      <c r="L11" s="389"/>
      <c r="HY11" s="371"/>
      <c r="HZ11" s="371"/>
      <c r="IA11" s="371"/>
      <c r="IB11" s="371"/>
      <c r="IC11" s="371"/>
      <c r="ID11" s="371"/>
      <c r="IE11" s="371"/>
      <c r="IF11" s="371"/>
      <c r="IG11" s="371"/>
      <c r="IH11" s="371"/>
      <c r="II11" s="371"/>
      <c r="IJ11" s="371"/>
      <c r="IK11" s="371"/>
      <c r="IL11" s="371"/>
      <c r="IM11" s="371"/>
      <c r="IN11" s="371"/>
      <c r="IO11" s="371"/>
      <c r="IP11" s="371"/>
      <c r="IQ11" s="371"/>
      <c r="IR11" s="371"/>
      <c r="IS11" s="371"/>
      <c r="IT11" s="371"/>
      <c r="IU11" s="371"/>
      <c r="IV11" s="371"/>
    </row>
    <row r="12" spans="1:256" s="373" customFormat="1" ht="15.75">
      <c r="A12" s="385"/>
      <c r="B12" s="386"/>
      <c r="C12" s="357">
        <v>4040</v>
      </c>
      <c r="D12" s="181" t="s">
        <v>562</v>
      </c>
      <c r="E12" s="321">
        <f t="shared" si="2"/>
        <v>96488</v>
      </c>
      <c r="F12" s="321">
        <f>G12</f>
        <v>96488</v>
      </c>
      <c r="G12" s="321">
        <v>96488</v>
      </c>
      <c r="H12" s="321"/>
      <c r="I12" s="389"/>
      <c r="J12" s="390"/>
      <c r="K12" s="390"/>
      <c r="L12" s="389"/>
      <c r="HY12" s="371"/>
      <c r="HZ12" s="371"/>
      <c r="IA12" s="371"/>
      <c r="IB12" s="371"/>
      <c r="IC12" s="371"/>
      <c r="ID12" s="371"/>
      <c r="IE12" s="371"/>
      <c r="IF12" s="371"/>
      <c r="IG12" s="371"/>
      <c r="IH12" s="371"/>
      <c r="II12" s="371"/>
      <c r="IJ12" s="371"/>
      <c r="IK12" s="371"/>
      <c r="IL12" s="371"/>
      <c r="IM12" s="371"/>
      <c r="IN12" s="371"/>
      <c r="IO12" s="371"/>
      <c r="IP12" s="371"/>
      <c r="IQ12" s="371"/>
      <c r="IR12" s="371"/>
      <c r="IS12" s="371"/>
      <c r="IT12" s="371"/>
      <c r="IU12" s="371"/>
      <c r="IV12" s="371"/>
    </row>
    <row r="13" spans="1:256" s="373" customFormat="1" ht="15.75">
      <c r="A13" s="385"/>
      <c r="B13" s="386"/>
      <c r="C13" s="357">
        <v>4110</v>
      </c>
      <c r="D13" s="181" t="s">
        <v>563</v>
      </c>
      <c r="E13" s="321">
        <f t="shared" si="2"/>
        <v>188811</v>
      </c>
      <c r="F13" s="321">
        <f>H13</f>
        <v>188811</v>
      </c>
      <c r="G13" s="321"/>
      <c r="H13" s="321">
        <v>188811</v>
      </c>
      <c r="I13" s="389"/>
      <c r="J13" s="390"/>
      <c r="K13" s="390"/>
      <c r="L13" s="389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  <c r="IT13" s="371"/>
      <c r="IU13" s="371"/>
      <c r="IV13" s="371"/>
    </row>
    <row r="14" spans="1:256" s="373" customFormat="1" ht="15.75">
      <c r="A14" s="385"/>
      <c r="B14" s="386"/>
      <c r="C14" s="357">
        <v>4120</v>
      </c>
      <c r="D14" s="181" t="s">
        <v>564</v>
      </c>
      <c r="E14" s="321">
        <f t="shared" si="2"/>
        <v>30453</v>
      </c>
      <c r="F14" s="321">
        <f>H14</f>
        <v>30453</v>
      </c>
      <c r="G14" s="321"/>
      <c r="H14" s="321">
        <v>30453</v>
      </c>
      <c r="I14" s="389"/>
      <c r="J14" s="390"/>
      <c r="K14" s="390"/>
      <c r="L14" s="389"/>
      <c r="HY14" s="371"/>
      <c r="HZ14" s="371"/>
      <c r="IA14" s="371"/>
      <c r="IB14" s="371"/>
      <c r="IC14" s="371"/>
      <c r="ID14" s="371"/>
      <c r="IE14" s="371"/>
      <c r="IF14" s="371"/>
      <c r="IG14" s="371"/>
      <c r="IH14" s="371"/>
      <c r="II14" s="371"/>
      <c r="IJ14" s="371"/>
      <c r="IK14" s="371"/>
      <c r="IL14" s="371"/>
      <c r="IM14" s="371"/>
      <c r="IN14" s="371"/>
      <c r="IO14" s="371"/>
      <c r="IP14" s="371"/>
      <c r="IQ14" s="371"/>
      <c r="IR14" s="371"/>
      <c r="IS14" s="371"/>
      <c r="IT14" s="371"/>
      <c r="IU14" s="371"/>
      <c r="IV14" s="371"/>
    </row>
    <row r="15" spans="1:256" s="373" customFormat="1" ht="15.75">
      <c r="A15" s="385"/>
      <c r="B15" s="386"/>
      <c r="C15" s="357">
        <v>4170</v>
      </c>
      <c r="D15" s="181" t="s">
        <v>715</v>
      </c>
      <c r="E15" s="321">
        <f t="shared" si="2"/>
        <v>0</v>
      </c>
      <c r="F15" s="321">
        <v>0</v>
      </c>
      <c r="G15" s="321"/>
      <c r="H15" s="321"/>
      <c r="I15" s="389"/>
      <c r="J15" s="390"/>
      <c r="K15" s="390"/>
      <c r="L15" s="389"/>
      <c r="HY15" s="371"/>
      <c r="HZ15" s="371"/>
      <c r="IA15" s="371"/>
      <c r="IB15" s="371"/>
      <c r="IC15" s="371"/>
      <c r="ID15" s="371"/>
      <c r="IE15" s="371"/>
      <c r="IF15" s="371"/>
      <c r="IG15" s="371"/>
      <c r="IH15" s="371"/>
      <c r="II15" s="371"/>
      <c r="IJ15" s="371"/>
      <c r="IK15" s="371"/>
      <c r="IL15" s="371"/>
      <c r="IM15" s="371"/>
      <c r="IN15" s="371"/>
      <c r="IO15" s="371"/>
      <c r="IP15" s="371"/>
      <c r="IQ15" s="371"/>
      <c r="IR15" s="371"/>
      <c r="IS15" s="371"/>
      <c r="IT15" s="371"/>
      <c r="IU15" s="371"/>
      <c r="IV15" s="371"/>
    </row>
    <row r="16" spans="1:256" s="373" customFormat="1" ht="15.75">
      <c r="A16" s="385"/>
      <c r="B16" s="386"/>
      <c r="C16" s="357">
        <v>4210</v>
      </c>
      <c r="D16" s="181" t="s">
        <v>555</v>
      </c>
      <c r="E16" s="321">
        <f t="shared" si="2"/>
        <v>25000</v>
      </c>
      <c r="F16" s="321">
        <f aca="true" t="shared" si="3" ref="F16:F24">I16</f>
        <v>25000</v>
      </c>
      <c r="G16" s="321"/>
      <c r="H16" s="321"/>
      <c r="I16" s="321">
        <v>25000</v>
      </c>
      <c r="J16" s="390"/>
      <c r="K16" s="390"/>
      <c r="L16" s="389"/>
      <c r="HY16" s="371"/>
      <c r="HZ16" s="371"/>
      <c r="IA16" s="371"/>
      <c r="IB16" s="371"/>
      <c r="IC16" s="371"/>
      <c r="ID16" s="371"/>
      <c r="IE16" s="371"/>
      <c r="IF16" s="371"/>
      <c r="IG16" s="371"/>
      <c r="IH16" s="371"/>
      <c r="II16" s="371"/>
      <c r="IJ16" s="371"/>
      <c r="IK16" s="371"/>
      <c r="IL16" s="371"/>
      <c r="IM16" s="371"/>
      <c r="IN16" s="371"/>
      <c r="IO16" s="371"/>
      <c r="IP16" s="371"/>
      <c r="IQ16" s="371"/>
      <c r="IR16" s="371"/>
      <c r="IS16" s="371"/>
      <c r="IT16" s="371"/>
      <c r="IU16" s="371"/>
      <c r="IV16" s="371"/>
    </row>
    <row r="17" spans="1:256" s="373" customFormat="1" ht="15.75">
      <c r="A17" s="385"/>
      <c r="B17" s="386"/>
      <c r="C17" s="357">
        <v>4220</v>
      </c>
      <c r="D17" s="181" t="s">
        <v>566</v>
      </c>
      <c r="E17" s="321">
        <f t="shared" si="2"/>
        <v>0</v>
      </c>
      <c r="F17" s="321">
        <f t="shared" si="3"/>
        <v>0</v>
      </c>
      <c r="G17" s="321"/>
      <c r="H17" s="321"/>
      <c r="I17" s="321">
        <v>0</v>
      </c>
      <c r="J17" s="390"/>
      <c r="K17" s="390"/>
      <c r="L17" s="389"/>
      <c r="HY17" s="371"/>
      <c r="HZ17" s="371"/>
      <c r="IA17" s="371"/>
      <c r="IB17" s="371"/>
      <c r="IC17" s="371"/>
      <c r="ID17" s="371"/>
      <c r="IE17" s="371"/>
      <c r="IF17" s="371"/>
      <c r="IG17" s="371"/>
      <c r="IH17" s="371"/>
      <c r="II17" s="371"/>
      <c r="IJ17" s="371"/>
      <c r="IK17" s="371"/>
      <c r="IL17" s="371"/>
      <c r="IM17" s="371"/>
      <c r="IN17" s="371"/>
      <c r="IO17" s="371"/>
      <c r="IP17" s="371"/>
      <c r="IQ17" s="371"/>
      <c r="IR17" s="371"/>
      <c r="IS17" s="371"/>
      <c r="IT17" s="371"/>
      <c r="IU17" s="371"/>
      <c r="IV17" s="371"/>
    </row>
    <row r="18" spans="1:256" s="373" customFormat="1" ht="31.5">
      <c r="A18" s="385"/>
      <c r="B18" s="386"/>
      <c r="C18" s="357">
        <v>4240</v>
      </c>
      <c r="D18" s="181" t="s">
        <v>556</v>
      </c>
      <c r="E18" s="321">
        <f t="shared" si="2"/>
        <v>4500</v>
      </c>
      <c r="F18" s="321">
        <f t="shared" si="3"/>
        <v>4500</v>
      </c>
      <c r="G18" s="321"/>
      <c r="H18" s="321"/>
      <c r="I18" s="321">
        <v>4500</v>
      </c>
      <c r="J18" s="390"/>
      <c r="K18" s="390"/>
      <c r="L18" s="389"/>
      <c r="HY18" s="371"/>
      <c r="HZ18" s="371"/>
      <c r="IA18" s="371"/>
      <c r="IB18" s="371"/>
      <c r="IC18" s="371"/>
      <c r="ID18" s="371"/>
      <c r="IE18" s="371"/>
      <c r="IF18" s="371"/>
      <c r="IG18" s="371"/>
      <c r="IH18" s="371"/>
      <c r="II18" s="371"/>
      <c r="IJ18" s="371"/>
      <c r="IK18" s="371"/>
      <c r="IL18" s="371"/>
      <c r="IM18" s="371"/>
      <c r="IN18" s="371"/>
      <c r="IO18" s="371"/>
      <c r="IP18" s="371"/>
      <c r="IQ18" s="371"/>
      <c r="IR18" s="371"/>
      <c r="IS18" s="371"/>
      <c r="IT18" s="371"/>
      <c r="IU18" s="371"/>
      <c r="IV18" s="371"/>
    </row>
    <row r="19" spans="1:256" s="373" customFormat="1" ht="15.75">
      <c r="A19" s="385"/>
      <c r="B19" s="386"/>
      <c r="C19" s="357">
        <v>4260</v>
      </c>
      <c r="D19" s="181" t="s">
        <v>567</v>
      </c>
      <c r="E19" s="321">
        <f t="shared" si="2"/>
        <v>129000</v>
      </c>
      <c r="F19" s="321">
        <f t="shared" si="3"/>
        <v>129000</v>
      </c>
      <c r="G19" s="321"/>
      <c r="H19" s="321"/>
      <c r="I19" s="321">
        <v>129000</v>
      </c>
      <c r="J19" s="390"/>
      <c r="K19" s="390"/>
      <c r="L19" s="389"/>
      <c r="HY19" s="371"/>
      <c r="HZ19" s="371"/>
      <c r="IA19" s="371"/>
      <c r="IB19" s="371"/>
      <c r="IC19" s="371"/>
      <c r="ID19" s="371"/>
      <c r="IE19" s="371"/>
      <c r="IF19" s="371"/>
      <c r="IG19" s="371"/>
      <c r="IH19" s="371"/>
      <c r="II19" s="371"/>
      <c r="IJ19" s="371"/>
      <c r="IK19" s="371"/>
      <c r="IL19" s="371"/>
      <c r="IM19" s="371"/>
      <c r="IN19" s="371"/>
      <c r="IO19" s="371"/>
      <c r="IP19" s="371"/>
      <c r="IQ19" s="371"/>
      <c r="IR19" s="371"/>
      <c r="IS19" s="371"/>
      <c r="IT19" s="371"/>
      <c r="IU19" s="371"/>
      <c r="IV19" s="371"/>
    </row>
    <row r="20" spans="1:256" s="373" customFormat="1" ht="15.75">
      <c r="A20" s="385"/>
      <c r="B20" s="386"/>
      <c r="C20" s="357">
        <v>4270</v>
      </c>
      <c r="D20" s="181" t="s">
        <v>507</v>
      </c>
      <c r="E20" s="321">
        <f t="shared" si="2"/>
        <v>80000</v>
      </c>
      <c r="F20" s="321">
        <f t="shared" si="3"/>
        <v>80000</v>
      </c>
      <c r="G20" s="321"/>
      <c r="H20" s="321"/>
      <c r="I20" s="321">
        <v>80000</v>
      </c>
      <c r="J20" s="391"/>
      <c r="K20" s="391"/>
      <c r="L20" s="392"/>
      <c r="HY20" s="371"/>
      <c r="HZ20" s="371"/>
      <c r="IA20" s="371"/>
      <c r="IB20" s="371"/>
      <c r="IC20" s="371"/>
      <c r="ID20" s="371"/>
      <c r="IE20" s="371"/>
      <c r="IF20" s="371"/>
      <c r="IG20" s="371"/>
      <c r="IH20" s="371"/>
      <c r="II20" s="371"/>
      <c r="IJ20" s="371"/>
      <c r="IK20" s="371"/>
      <c r="IL20" s="371"/>
      <c r="IM20" s="371"/>
      <c r="IN20" s="371"/>
      <c r="IO20" s="371"/>
      <c r="IP20" s="371"/>
      <c r="IQ20" s="371"/>
      <c r="IR20" s="371"/>
      <c r="IS20" s="371"/>
      <c r="IT20" s="371"/>
      <c r="IU20" s="371"/>
      <c r="IV20" s="371"/>
    </row>
    <row r="21" spans="1:256" s="373" customFormat="1" ht="15.75">
      <c r="A21" s="385"/>
      <c r="B21" s="386"/>
      <c r="C21" s="357">
        <v>4280</v>
      </c>
      <c r="D21" s="181" t="s">
        <v>568</v>
      </c>
      <c r="E21" s="321">
        <f t="shared" si="2"/>
        <v>15000</v>
      </c>
      <c r="F21" s="321">
        <f t="shared" si="3"/>
        <v>15000</v>
      </c>
      <c r="G21" s="321"/>
      <c r="H21" s="321"/>
      <c r="I21" s="321">
        <v>15000</v>
      </c>
      <c r="J21" s="390"/>
      <c r="K21" s="390"/>
      <c r="L21" s="389"/>
      <c r="HY21" s="371"/>
      <c r="HZ21" s="371"/>
      <c r="IA21" s="371"/>
      <c r="IB21" s="371"/>
      <c r="IC21" s="371"/>
      <c r="ID21" s="371"/>
      <c r="IE21" s="371"/>
      <c r="IF21" s="371"/>
      <c r="IG21" s="371"/>
      <c r="IH21" s="371"/>
      <c r="II21" s="371"/>
      <c r="IJ21" s="371"/>
      <c r="IK21" s="371"/>
      <c r="IL21" s="371"/>
      <c r="IM21" s="371"/>
      <c r="IN21" s="371"/>
      <c r="IO21" s="371"/>
      <c r="IP21" s="371"/>
      <c r="IQ21" s="371"/>
      <c r="IR21" s="371"/>
      <c r="IS21" s="371"/>
      <c r="IT21" s="371"/>
      <c r="IU21" s="371"/>
      <c r="IV21" s="371"/>
    </row>
    <row r="22" spans="1:256" s="373" customFormat="1" ht="15.75">
      <c r="A22" s="385"/>
      <c r="B22" s="386"/>
      <c r="C22" s="357">
        <v>4300</v>
      </c>
      <c r="D22" s="181" t="s">
        <v>569</v>
      </c>
      <c r="E22" s="321">
        <f t="shared" si="2"/>
        <v>17200</v>
      </c>
      <c r="F22" s="321">
        <f t="shared" si="3"/>
        <v>17200</v>
      </c>
      <c r="G22" s="321"/>
      <c r="H22" s="321"/>
      <c r="I22" s="321">
        <v>17200</v>
      </c>
      <c r="J22" s="391"/>
      <c r="K22" s="391"/>
      <c r="L22" s="392"/>
      <c r="HY22" s="371"/>
      <c r="HZ22" s="371"/>
      <c r="IA22" s="371"/>
      <c r="IB22" s="371"/>
      <c r="IC22" s="371"/>
      <c r="ID22" s="371"/>
      <c r="IE22" s="371"/>
      <c r="IF22" s="371"/>
      <c r="IG22" s="371"/>
      <c r="IH22" s="371"/>
      <c r="II22" s="371"/>
      <c r="IJ22" s="371"/>
      <c r="IK22" s="371"/>
      <c r="IL22" s="371"/>
      <c r="IM22" s="371"/>
      <c r="IN22" s="371"/>
      <c r="IO22" s="371"/>
      <c r="IP22" s="371"/>
      <c r="IQ22" s="371"/>
      <c r="IR22" s="371"/>
      <c r="IS22" s="371"/>
      <c r="IT22" s="371"/>
      <c r="IU22" s="371"/>
      <c r="IV22" s="371"/>
    </row>
    <row r="23" spans="1:256" s="373" customFormat="1" ht="15.75">
      <c r="A23" s="385"/>
      <c r="B23" s="386"/>
      <c r="C23" s="357">
        <v>4350</v>
      </c>
      <c r="D23" s="181" t="s">
        <v>570</v>
      </c>
      <c r="E23" s="321">
        <f t="shared" si="2"/>
        <v>1445</v>
      </c>
      <c r="F23" s="321">
        <f t="shared" si="3"/>
        <v>1445</v>
      </c>
      <c r="G23" s="321"/>
      <c r="H23" s="321"/>
      <c r="I23" s="321">
        <v>1445</v>
      </c>
      <c r="J23" s="390"/>
      <c r="K23" s="390"/>
      <c r="L23" s="389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  <c r="IK23" s="371"/>
      <c r="IL23" s="371"/>
      <c r="IM23" s="371"/>
      <c r="IN23" s="371"/>
      <c r="IO23" s="371"/>
      <c r="IP23" s="371"/>
      <c r="IQ23" s="371"/>
      <c r="IR23" s="371"/>
      <c r="IS23" s="371"/>
      <c r="IT23" s="371"/>
      <c r="IU23" s="371"/>
      <c r="IV23" s="371"/>
    </row>
    <row r="24" spans="1:256" s="373" customFormat="1" ht="31.5">
      <c r="A24" s="385"/>
      <c r="B24" s="386"/>
      <c r="C24" s="357">
        <v>4360</v>
      </c>
      <c r="D24" s="181" t="s">
        <v>732</v>
      </c>
      <c r="E24" s="321">
        <f t="shared" si="2"/>
        <v>0</v>
      </c>
      <c r="F24" s="321">
        <f t="shared" si="3"/>
        <v>0</v>
      </c>
      <c r="G24" s="321"/>
      <c r="H24" s="321"/>
      <c r="I24" s="321">
        <v>0</v>
      </c>
      <c r="J24" s="390"/>
      <c r="K24" s="390"/>
      <c r="L24" s="389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  <c r="IK24" s="371"/>
      <c r="IL24" s="371"/>
      <c r="IM24" s="371"/>
      <c r="IN24" s="371"/>
      <c r="IO24" s="371"/>
      <c r="IP24" s="371"/>
      <c r="IQ24" s="371"/>
      <c r="IR24" s="371"/>
      <c r="IS24" s="371"/>
      <c r="IT24" s="371"/>
      <c r="IU24" s="371"/>
      <c r="IV24" s="371"/>
    </row>
    <row r="25" spans="1:256" s="373" customFormat="1" ht="15.75" customHeight="1">
      <c r="A25" s="778" t="s">
        <v>733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HY25" s="371"/>
      <c r="HZ25" s="371"/>
      <c r="IA25" s="371"/>
      <c r="IB25" s="371"/>
      <c r="IC25" s="371"/>
      <c r="ID25" s="371"/>
      <c r="IE25" s="371"/>
      <c r="IF25" s="371"/>
      <c r="IG25" s="371"/>
      <c r="IH25" s="371"/>
      <c r="II25" s="371"/>
      <c r="IJ25" s="371"/>
      <c r="IK25" s="371"/>
      <c r="IL25" s="371"/>
      <c r="IM25" s="371"/>
      <c r="IN25" s="371"/>
      <c r="IO25" s="371"/>
      <c r="IP25" s="371"/>
      <c r="IQ25" s="371"/>
      <c r="IR25" s="371"/>
      <c r="IS25" s="371"/>
      <c r="IT25" s="371"/>
      <c r="IU25" s="371"/>
      <c r="IV25" s="371"/>
    </row>
    <row r="26" spans="1:256" s="373" customFormat="1" ht="31.5">
      <c r="A26" s="385"/>
      <c r="B26" s="386"/>
      <c r="C26" s="357">
        <v>4370</v>
      </c>
      <c r="D26" s="181" t="s">
        <v>716</v>
      </c>
      <c r="E26" s="321">
        <f aca="true" t="shared" si="4" ref="E26:E33">F26</f>
        <v>2400</v>
      </c>
      <c r="F26" s="321">
        <f aca="true" t="shared" si="5" ref="F26:F33">I26</f>
        <v>2400</v>
      </c>
      <c r="G26" s="321"/>
      <c r="H26" s="321"/>
      <c r="I26" s="321">
        <v>2400</v>
      </c>
      <c r="J26" s="390"/>
      <c r="K26" s="390"/>
      <c r="L26" s="389"/>
      <c r="HY26" s="371"/>
      <c r="HZ26" s="371"/>
      <c r="IA26" s="371"/>
      <c r="IB26" s="371"/>
      <c r="IC26" s="371"/>
      <c r="ID26" s="371"/>
      <c r="IE26" s="371"/>
      <c r="IF26" s="371"/>
      <c r="IG26" s="371"/>
      <c r="IH26" s="371"/>
      <c r="II26" s="371"/>
      <c r="IJ26" s="371"/>
      <c r="IK26" s="371"/>
      <c r="IL26" s="371"/>
      <c r="IM26" s="371"/>
      <c r="IN26" s="371"/>
      <c r="IO26" s="371"/>
      <c r="IP26" s="371"/>
      <c r="IQ26" s="371"/>
      <c r="IR26" s="371"/>
      <c r="IS26" s="371"/>
      <c r="IT26" s="371"/>
      <c r="IU26" s="371"/>
      <c r="IV26" s="371"/>
    </row>
    <row r="27" spans="1:256" s="373" customFormat="1" ht="15.75">
      <c r="A27" s="385"/>
      <c r="B27" s="386"/>
      <c r="C27" s="357">
        <v>4410</v>
      </c>
      <c r="D27" s="181" t="s">
        <v>572</v>
      </c>
      <c r="E27" s="321">
        <f t="shared" si="4"/>
        <v>400</v>
      </c>
      <c r="F27" s="321">
        <f t="shared" si="5"/>
        <v>400</v>
      </c>
      <c r="G27" s="321"/>
      <c r="H27" s="321"/>
      <c r="I27" s="321">
        <v>400</v>
      </c>
      <c r="J27" s="390"/>
      <c r="K27" s="390"/>
      <c r="L27" s="389"/>
      <c r="HY27" s="371"/>
      <c r="HZ27" s="371"/>
      <c r="IA27" s="371"/>
      <c r="IB27" s="371"/>
      <c r="IC27" s="371"/>
      <c r="ID27" s="371"/>
      <c r="IE27" s="371"/>
      <c r="IF27" s="371"/>
      <c r="IG27" s="371"/>
      <c r="IH27" s="371"/>
      <c r="II27" s="371"/>
      <c r="IJ27" s="371"/>
      <c r="IK27" s="371"/>
      <c r="IL27" s="371"/>
      <c r="IM27" s="371"/>
      <c r="IN27" s="371"/>
      <c r="IO27" s="371"/>
      <c r="IP27" s="371"/>
      <c r="IQ27" s="371"/>
      <c r="IR27" s="371"/>
      <c r="IS27" s="371"/>
      <c r="IT27" s="371"/>
      <c r="IU27" s="371"/>
      <c r="IV27" s="371"/>
    </row>
    <row r="28" spans="1:256" s="373" customFormat="1" ht="15.75">
      <c r="A28" s="385"/>
      <c r="B28" s="386"/>
      <c r="C28" s="357">
        <v>4420</v>
      </c>
      <c r="D28" s="181" t="s">
        <v>734</v>
      </c>
      <c r="E28" s="321">
        <f t="shared" si="4"/>
        <v>0</v>
      </c>
      <c r="F28" s="321">
        <f t="shared" si="5"/>
        <v>0</v>
      </c>
      <c r="G28" s="321"/>
      <c r="H28" s="321"/>
      <c r="I28" s="321">
        <v>0</v>
      </c>
      <c r="J28" s="390"/>
      <c r="K28" s="390"/>
      <c r="L28" s="389"/>
      <c r="HY28" s="371"/>
      <c r="HZ28" s="371"/>
      <c r="IA28" s="371"/>
      <c r="IB28" s="371"/>
      <c r="IC28" s="371"/>
      <c r="ID28" s="371"/>
      <c r="IE28" s="371"/>
      <c r="IF28" s="371"/>
      <c r="IG28" s="371"/>
      <c r="IH28" s="371"/>
      <c r="II28" s="371"/>
      <c r="IJ28" s="371"/>
      <c r="IK28" s="371"/>
      <c r="IL28" s="371"/>
      <c r="IM28" s="371"/>
      <c r="IN28" s="371"/>
      <c r="IO28" s="371"/>
      <c r="IP28" s="371"/>
      <c r="IQ28" s="371"/>
      <c r="IR28" s="371"/>
      <c r="IS28" s="371"/>
      <c r="IT28" s="371"/>
      <c r="IU28" s="371"/>
      <c r="IV28" s="371"/>
    </row>
    <row r="29" spans="1:256" s="373" customFormat="1" ht="15.75">
      <c r="A29" s="385"/>
      <c r="B29" s="386"/>
      <c r="C29" s="357">
        <v>4430</v>
      </c>
      <c r="D29" s="181" t="s">
        <v>573</v>
      </c>
      <c r="E29" s="321">
        <f t="shared" si="4"/>
        <v>993</v>
      </c>
      <c r="F29" s="321">
        <f t="shared" si="5"/>
        <v>993</v>
      </c>
      <c r="G29" s="321"/>
      <c r="H29" s="321"/>
      <c r="I29" s="321">
        <v>993</v>
      </c>
      <c r="J29" s="390"/>
      <c r="K29" s="390"/>
      <c r="L29" s="389"/>
      <c r="HY29" s="371"/>
      <c r="HZ29" s="371"/>
      <c r="IA29" s="371"/>
      <c r="IB29" s="371"/>
      <c r="IC29" s="371"/>
      <c r="ID29" s="371"/>
      <c r="IE29" s="371"/>
      <c r="IF29" s="371"/>
      <c r="IG29" s="371"/>
      <c r="IH29" s="371"/>
      <c r="II29" s="371"/>
      <c r="IJ29" s="371"/>
      <c r="IK29" s="371"/>
      <c r="IL29" s="371"/>
      <c r="IM29" s="371"/>
      <c r="IN29" s="371"/>
      <c r="IO29" s="371"/>
      <c r="IP29" s="371"/>
      <c r="IQ29" s="371"/>
      <c r="IR29" s="371"/>
      <c r="IS29" s="371"/>
      <c r="IT29" s="371"/>
      <c r="IU29" s="371"/>
      <c r="IV29" s="371"/>
    </row>
    <row r="30" spans="1:256" s="373" customFormat="1" ht="31.5">
      <c r="A30" s="385"/>
      <c r="B30" s="386"/>
      <c r="C30" s="357">
        <v>4440</v>
      </c>
      <c r="D30" s="181" t="s">
        <v>718</v>
      </c>
      <c r="E30" s="321">
        <f t="shared" si="4"/>
        <v>61020.704999999994</v>
      </c>
      <c r="F30" s="321">
        <f t="shared" si="5"/>
        <v>61020.704999999994</v>
      </c>
      <c r="G30" s="321"/>
      <c r="H30" s="321"/>
      <c r="I30" s="321">
        <f>1000.04*17+2515.43*17.5</f>
        <v>61020.704999999994</v>
      </c>
      <c r="J30" s="390"/>
      <c r="K30" s="390"/>
      <c r="L30" s="389"/>
      <c r="HY30" s="371"/>
      <c r="HZ30" s="371"/>
      <c r="IA30" s="371"/>
      <c r="IB30" s="371"/>
      <c r="IC30" s="371"/>
      <c r="ID30" s="371"/>
      <c r="IE30" s="371"/>
      <c r="IF30" s="371"/>
      <c r="IG30" s="371"/>
      <c r="IH30" s="371"/>
      <c r="II30" s="371"/>
      <c r="IJ30" s="371"/>
      <c r="IK30" s="371"/>
      <c r="IL30" s="371"/>
      <c r="IM30" s="371"/>
      <c r="IN30" s="371"/>
      <c r="IO30" s="371"/>
      <c r="IP30" s="371"/>
      <c r="IQ30" s="371"/>
      <c r="IR30" s="371"/>
      <c r="IS30" s="371"/>
      <c r="IT30" s="371"/>
      <c r="IU30" s="371"/>
      <c r="IV30" s="371"/>
    </row>
    <row r="31" spans="1:256" s="373" customFormat="1" ht="31.5">
      <c r="A31" s="385"/>
      <c r="B31" s="386"/>
      <c r="C31" s="357">
        <v>4700</v>
      </c>
      <c r="D31" s="181" t="s">
        <v>575</v>
      </c>
      <c r="E31" s="321">
        <f t="shared" si="4"/>
        <v>500</v>
      </c>
      <c r="F31" s="321">
        <f t="shared" si="5"/>
        <v>500</v>
      </c>
      <c r="G31" s="321"/>
      <c r="H31" s="321"/>
      <c r="I31" s="321">
        <v>500</v>
      </c>
      <c r="J31" s="390"/>
      <c r="K31" s="390"/>
      <c r="L31" s="389"/>
      <c r="HY31" s="371"/>
      <c r="HZ31" s="371"/>
      <c r="IA31" s="371"/>
      <c r="IB31" s="371"/>
      <c r="IC31" s="371"/>
      <c r="ID31" s="371"/>
      <c r="IE31" s="371"/>
      <c r="IF31" s="371"/>
      <c r="IG31" s="371"/>
      <c r="IH31" s="371"/>
      <c r="II31" s="371"/>
      <c r="IJ31" s="371"/>
      <c r="IK31" s="371"/>
      <c r="IL31" s="371"/>
      <c r="IM31" s="371"/>
      <c r="IN31" s="371"/>
      <c r="IO31" s="371"/>
      <c r="IP31" s="371"/>
      <c r="IQ31" s="371"/>
      <c r="IR31" s="371"/>
      <c r="IS31" s="371"/>
      <c r="IT31" s="371"/>
      <c r="IU31" s="371"/>
      <c r="IV31" s="371"/>
    </row>
    <row r="32" spans="1:256" s="373" customFormat="1" ht="31.5">
      <c r="A32" s="385"/>
      <c r="B32" s="386"/>
      <c r="C32" s="357">
        <v>4740</v>
      </c>
      <c r="D32" s="181" t="s">
        <v>558</v>
      </c>
      <c r="E32" s="321">
        <f t="shared" si="4"/>
        <v>700</v>
      </c>
      <c r="F32" s="321">
        <f t="shared" si="5"/>
        <v>700</v>
      </c>
      <c r="G32" s="321"/>
      <c r="H32" s="321"/>
      <c r="I32" s="321">
        <v>700</v>
      </c>
      <c r="J32" s="390"/>
      <c r="K32" s="390"/>
      <c r="L32" s="389"/>
      <c r="HY32" s="371"/>
      <c r="HZ32" s="371"/>
      <c r="IA32" s="371"/>
      <c r="IB32" s="371"/>
      <c r="IC32" s="371"/>
      <c r="ID32" s="371"/>
      <c r="IE32" s="371"/>
      <c r="IF32" s="371"/>
      <c r="IG32" s="371"/>
      <c r="IH32" s="371"/>
      <c r="II32" s="371"/>
      <c r="IJ32" s="371"/>
      <c r="IK32" s="371"/>
      <c r="IL32" s="371"/>
      <c r="IM32" s="371"/>
      <c r="IN32" s="371"/>
      <c r="IO32" s="371"/>
      <c r="IP32" s="371"/>
      <c r="IQ32" s="371"/>
      <c r="IR32" s="371"/>
      <c r="IS32" s="371"/>
      <c r="IT32" s="371"/>
      <c r="IU32" s="371"/>
      <c r="IV32" s="371"/>
    </row>
    <row r="33" spans="1:256" s="373" customFormat="1" ht="31.5">
      <c r="A33" s="385"/>
      <c r="B33" s="386"/>
      <c r="C33" s="357">
        <v>4750</v>
      </c>
      <c r="D33" s="181" t="s">
        <v>576</v>
      </c>
      <c r="E33" s="321">
        <f t="shared" si="4"/>
        <v>1100</v>
      </c>
      <c r="F33" s="321">
        <f t="shared" si="5"/>
        <v>1100</v>
      </c>
      <c r="G33" s="321"/>
      <c r="H33" s="321"/>
      <c r="I33" s="321">
        <v>1100</v>
      </c>
      <c r="J33" s="390"/>
      <c r="K33" s="390"/>
      <c r="L33" s="389"/>
      <c r="HY33" s="371"/>
      <c r="HZ33" s="371"/>
      <c r="IA33" s="371"/>
      <c r="IB33" s="371"/>
      <c r="IC33" s="371"/>
      <c r="ID33" s="371"/>
      <c r="IE33" s="371"/>
      <c r="IF33" s="371"/>
      <c r="IG33" s="371"/>
      <c r="IH33" s="371"/>
      <c r="II33" s="371"/>
      <c r="IJ33" s="371"/>
      <c r="IK33" s="371"/>
      <c r="IL33" s="371"/>
      <c r="IM33" s="371"/>
      <c r="IN33" s="371"/>
      <c r="IO33" s="371"/>
      <c r="IP33" s="371"/>
      <c r="IQ33" s="371"/>
      <c r="IR33" s="371"/>
      <c r="IS33" s="371"/>
      <c r="IT33" s="371"/>
      <c r="IU33" s="371"/>
      <c r="IV33" s="371"/>
    </row>
    <row r="34" spans="1:256" s="373" customFormat="1" ht="15.75">
      <c r="A34" s="370"/>
      <c r="B34" s="367">
        <v>80146</v>
      </c>
      <c r="C34" s="367"/>
      <c r="D34" s="368" t="s">
        <v>584</v>
      </c>
      <c r="E34" s="278">
        <f aca="true" t="shared" si="6" ref="E34:L34">SUM(E35:E39)</f>
        <v>4800</v>
      </c>
      <c r="F34" s="278">
        <f t="shared" si="6"/>
        <v>4800</v>
      </c>
      <c r="G34" s="278">
        <f t="shared" si="6"/>
        <v>0</v>
      </c>
      <c r="H34" s="278">
        <f t="shared" si="6"/>
        <v>0</v>
      </c>
      <c r="I34" s="278">
        <f t="shared" si="6"/>
        <v>4800</v>
      </c>
      <c r="J34" s="278">
        <f t="shared" si="6"/>
        <v>0</v>
      </c>
      <c r="K34" s="278">
        <f t="shared" si="6"/>
        <v>0</v>
      </c>
      <c r="L34" s="278">
        <f t="shared" si="6"/>
        <v>0</v>
      </c>
      <c r="HY34" s="371"/>
      <c r="HZ34" s="371"/>
      <c r="IA34" s="371"/>
      <c r="IB34" s="371"/>
      <c r="IC34" s="371"/>
      <c r="ID34" s="371"/>
      <c r="IE34" s="371"/>
      <c r="IF34" s="371"/>
      <c r="IG34" s="371"/>
      <c r="IH34" s="371"/>
      <c r="II34" s="371"/>
      <c r="IJ34" s="371"/>
      <c r="IK34" s="371"/>
      <c r="IL34" s="371"/>
      <c r="IM34" s="371"/>
      <c r="IN34" s="371"/>
      <c r="IO34" s="371"/>
      <c r="IP34" s="371"/>
      <c r="IQ34" s="371"/>
      <c r="IR34" s="371"/>
      <c r="IS34" s="371"/>
      <c r="IT34" s="371"/>
      <c r="IU34" s="371"/>
      <c r="IV34" s="371"/>
    </row>
    <row r="35" spans="1:12" ht="15.75">
      <c r="A35" s="385"/>
      <c r="B35" s="385"/>
      <c r="C35" s="357">
        <v>4210</v>
      </c>
      <c r="D35" s="181" t="s">
        <v>555</v>
      </c>
      <c r="E35" s="321">
        <f>F35</f>
        <v>0</v>
      </c>
      <c r="F35" s="321">
        <f>I35</f>
        <v>0</v>
      </c>
      <c r="G35" s="321"/>
      <c r="H35" s="321"/>
      <c r="I35" s="321">
        <v>0</v>
      </c>
      <c r="J35" s="393"/>
      <c r="K35" s="393"/>
      <c r="L35" s="87"/>
    </row>
    <row r="36" spans="1:12" ht="31.5">
      <c r="A36" s="385"/>
      <c r="B36" s="385"/>
      <c r="C36" s="357">
        <v>4240</v>
      </c>
      <c r="D36" s="181" t="s">
        <v>556</v>
      </c>
      <c r="E36" s="321">
        <f>F36</f>
        <v>0</v>
      </c>
      <c r="F36" s="321">
        <f>I36</f>
        <v>0</v>
      </c>
      <c r="G36" s="321"/>
      <c r="H36" s="321"/>
      <c r="I36" s="321"/>
      <c r="J36" s="393"/>
      <c r="K36" s="393"/>
      <c r="L36" s="87"/>
    </row>
    <row r="37" spans="1:12" ht="15.75">
      <c r="A37" s="385"/>
      <c r="B37" s="385"/>
      <c r="C37" s="357">
        <v>4300</v>
      </c>
      <c r="D37" s="181" t="s">
        <v>569</v>
      </c>
      <c r="E37" s="321">
        <f>F37</f>
        <v>2500</v>
      </c>
      <c r="F37" s="321">
        <f>I37</f>
        <v>2500</v>
      </c>
      <c r="G37" s="321"/>
      <c r="H37" s="321"/>
      <c r="I37" s="321">
        <v>2500</v>
      </c>
      <c r="J37" s="394"/>
      <c r="K37" s="394"/>
      <c r="L37" s="87"/>
    </row>
    <row r="38" spans="1:12" ht="15.75">
      <c r="A38" s="385"/>
      <c r="B38" s="385"/>
      <c r="C38" s="357">
        <v>4410</v>
      </c>
      <c r="D38" s="181" t="s">
        <v>572</v>
      </c>
      <c r="E38" s="321">
        <f>F38</f>
        <v>1300</v>
      </c>
      <c r="F38" s="321">
        <f>I38</f>
        <v>1300</v>
      </c>
      <c r="G38" s="321"/>
      <c r="H38" s="321"/>
      <c r="I38" s="321">
        <v>1300</v>
      </c>
      <c r="J38" s="393"/>
      <c r="K38" s="393"/>
      <c r="L38" s="87"/>
    </row>
    <row r="39" spans="1:12" ht="31.5">
      <c r="A39" s="385"/>
      <c r="B39" s="385"/>
      <c r="C39" s="357">
        <v>4700</v>
      </c>
      <c r="D39" s="181" t="s">
        <v>575</v>
      </c>
      <c r="E39" s="321">
        <f>F39</f>
        <v>1000</v>
      </c>
      <c r="F39" s="321">
        <f>I39</f>
        <v>1000</v>
      </c>
      <c r="G39" s="321"/>
      <c r="H39" s="321"/>
      <c r="I39" s="321">
        <v>1000</v>
      </c>
      <c r="J39" s="393"/>
      <c r="K39" s="393"/>
      <c r="L39" s="87"/>
    </row>
    <row r="40" spans="1:12" ht="15.75">
      <c r="A40" s="395"/>
      <c r="B40" s="396">
        <v>80148</v>
      </c>
      <c r="C40" s="397"/>
      <c r="D40" s="398" t="s">
        <v>410</v>
      </c>
      <c r="E40" s="399">
        <f aca="true" t="shared" si="7" ref="E40:L40">SUM(E41:E56)</f>
        <v>342684</v>
      </c>
      <c r="F40" s="399">
        <f t="shared" si="7"/>
        <v>337184</v>
      </c>
      <c r="G40" s="399">
        <f t="shared" si="7"/>
        <v>111570</v>
      </c>
      <c r="H40" s="399">
        <f t="shared" si="7"/>
        <v>18562</v>
      </c>
      <c r="I40" s="399">
        <f t="shared" si="7"/>
        <v>0</v>
      </c>
      <c r="J40" s="399">
        <f t="shared" si="7"/>
        <v>500</v>
      </c>
      <c r="K40" s="399">
        <f t="shared" si="7"/>
        <v>0</v>
      </c>
      <c r="L40" s="399">
        <f t="shared" si="7"/>
        <v>5500</v>
      </c>
    </row>
    <row r="41" spans="1:12" ht="31.5">
      <c r="A41" s="385"/>
      <c r="B41" s="385"/>
      <c r="C41" s="357">
        <v>3020</v>
      </c>
      <c r="D41" s="181" t="s">
        <v>713</v>
      </c>
      <c r="E41" s="400">
        <f aca="true" t="shared" si="8" ref="E41:E50">F41</f>
        <v>500</v>
      </c>
      <c r="F41" s="400">
        <f>J41</f>
        <v>500</v>
      </c>
      <c r="G41" s="321">
        <v>0</v>
      </c>
      <c r="H41" s="321">
        <v>0</v>
      </c>
      <c r="I41" s="401"/>
      <c r="J41" s="400">
        <v>500</v>
      </c>
      <c r="K41" s="402"/>
      <c r="L41" s="401"/>
    </row>
    <row r="42" spans="1:12" ht="15.75">
      <c r="A42" s="385"/>
      <c r="B42" s="385"/>
      <c r="C42" s="357">
        <v>4010</v>
      </c>
      <c r="D42" s="181" t="s">
        <v>545</v>
      </c>
      <c r="E42" s="400">
        <f t="shared" si="8"/>
        <v>103402</v>
      </c>
      <c r="F42" s="400">
        <f>G42</f>
        <v>103402</v>
      </c>
      <c r="G42" s="400">
        <v>103402</v>
      </c>
      <c r="H42" s="321">
        <v>0</v>
      </c>
      <c r="I42" s="403"/>
      <c r="J42" s="404"/>
      <c r="K42" s="404"/>
      <c r="L42" s="403"/>
    </row>
    <row r="43" spans="1:12" ht="15.75">
      <c r="A43" s="385"/>
      <c r="B43" s="385"/>
      <c r="C43" s="357">
        <v>4040</v>
      </c>
      <c r="D43" s="181" t="s">
        <v>562</v>
      </c>
      <c r="E43" s="400">
        <f t="shared" si="8"/>
        <v>8168</v>
      </c>
      <c r="F43" s="400">
        <f>G43</f>
        <v>8168</v>
      </c>
      <c r="G43" s="400">
        <v>8168</v>
      </c>
      <c r="H43" s="321">
        <v>0</v>
      </c>
      <c r="I43" s="403"/>
      <c r="J43" s="404"/>
      <c r="K43" s="404"/>
      <c r="L43" s="403"/>
    </row>
    <row r="44" spans="1:12" ht="15.75">
      <c r="A44" s="385"/>
      <c r="B44" s="385"/>
      <c r="C44" s="357">
        <v>4110</v>
      </c>
      <c r="D44" s="181" t="s">
        <v>563</v>
      </c>
      <c r="E44" s="400">
        <f t="shared" si="8"/>
        <v>15984</v>
      </c>
      <c r="F44" s="400">
        <f>H44</f>
        <v>15984</v>
      </c>
      <c r="G44" s="321">
        <v>0</v>
      </c>
      <c r="H44" s="400">
        <v>15984</v>
      </c>
      <c r="I44" s="403"/>
      <c r="J44" s="404"/>
      <c r="K44" s="404"/>
      <c r="L44" s="403"/>
    </row>
    <row r="45" spans="1:12" ht="15.75">
      <c r="A45" s="385"/>
      <c r="B45" s="385"/>
      <c r="C45" s="357">
        <v>4120</v>
      </c>
      <c r="D45" s="181" t="s">
        <v>564</v>
      </c>
      <c r="E45" s="400">
        <f t="shared" si="8"/>
        <v>2578</v>
      </c>
      <c r="F45" s="400">
        <f>H45</f>
        <v>2578</v>
      </c>
      <c r="G45" s="321">
        <v>0</v>
      </c>
      <c r="H45" s="400">
        <v>2578</v>
      </c>
      <c r="I45" s="403"/>
      <c r="J45" s="404"/>
      <c r="K45" s="404"/>
      <c r="L45" s="403"/>
    </row>
    <row r="46" spans="1:12" ht="15.75">
      <c r="A46" s="385"/>
      <c r="B46" s="385"/>
      <c r="C46" s="357">
        <v>4210</v>
      </c>
      <c r="D46" s="181" t="s">
        <v>555</v>
      </c>
      <c r="E46" s="400">
        <f t="shared" si="8"/>
        <v>5500</v>
      </c>
      <c r="F46" s="400">
        <v>5500</v>
      </c>
      <c r="G46" s="321"/>
      <c r="H46" s="321"/>
      <c r="I46" s="400"/>
      <c r="J46" s="404"/>
      <c r="K46" s="404"/>
      <c r="L46" s="403"/>
    </row>
    <row r="47" spans="1:12" ht="15.75">
      <c r="A47" s="385"/>
      <c r="B47" s="385"/>
      <c r="C47" s="357">
        <v>4220</v>
      </c>
      <c r="D47" s="181" t="s">
        <v>566</v>
      </c>
      <c r="E47" s="400">
        <f t="shared" si="8"/>
        <v>194880</v>
      </c>
      <c r="F47" s="400">
        <v>194880</v>
      </c>
      <c r="G47" s="321"/>
      <c r="H47" s="321"/>
      <c r="I47" s="400"/>
      <c r="J47" s="404"/>
      <c r="K47" s="404"/>
      <c r="L47" s="403"/>
    </row>
    <row r="48" spans="1:12" ht="15.75">
      <c r="A48" s="385"/>
      <c r="B48" s="385"/>
      <c r="C48" s="357">
        <v>4270</v>
      </c>
      <c r="D48" s="181" t="s">
        <v>507</v>
      </c>
      <c r="E48" s="400">
        <f t="shared" si="8"/>
        <v>1000</v>
      </c>
      <c r="F48" s="400">
        <v>1000</v>
      </c>
      <c r="G48" s="321"/>
      <c r="H48" s="321"/>
      <c r="I48" s="400"/>
      <c r="J48" s="405"/>
      <c r="K48" s="405"/>
      <c r="L48" s="321"/>
    </row>
    <row r="49" spans="1:12" ht="15.75">
      <c r="A49" s="385"/>
      <c r="B49" s="385"/>
      <c r="C49" s="357">
        <v>4280</v>
      </c>
      <c r="D49" s="181" t="s">
        <v>568</v>
      </c>
      <c r="E49" s="400">
        <f t="shared" si="8"/>
        <v>200</v>
      </c>
      <c r="F49" s="400">
        <v>200</v>
      </c>
      <c r="G49" s="321"/>
      <c r="H49" s="321"/>
      <c r="I49" s="400"/>
      <c r="J49" s="404"/>
      <c r="K49" s="404"/>
      <c r="L49" s="403"/>
    </row>
    <row r="50" spans="1:12" ht="15.75">
      <c r="A50" s="385"/>
      <c r="B50" s="385"/>
      <c r="C50" s="357">
        <v>4300</v>
      </c>
      <c r="D50" s="181" t="s">
        <v>569</v>
      </c>
      <c r="E50" s="400">
        <f t="shared" si="8"/>
        <v>600</v>
      </c>
      <c r="F50" s="400">
        <v>600</v>
      </c>
      <c r="G50" s="321"/>
      <c r="H50" s="321"/>
      <c r="I50" s="400"/>
      <c r="J50" s="405"/>
      <c r="K50" s="405"/>
      <c r="L50" s="321"/>
    </row>
    <row r="51" spans="1:12" ht="15.75" customHeight="1">
      <c r="A51" s="797" t="s">
        <v>733</v>
      </c>
      <c r="B51" s="797"/>
      <c r="C51" s="797"/>
      <c r="D51" s="797"/>
      <c r="E51" s="797"/>
      <c r="F51" s="797"/>
      <c r="G51" s="797"/>
      <c r="H51" s="797"/>
      <c r="I51" s="797"/>
      <c r="J51" s="797"/>
      <c r="K51" s="797"/>
      <c r="L51" s="797"/>
    </row>
    <row r="52" spans="1:12" ht="31.5">
      <c r="A52" s="385"/>
      <c r="B52" s="385"/>
      <c r="C52" s="357">
        <v>4440</v>
      </c>
      <c r="D52" s="181" t="s">
        <v>718</v>
      </c>
      <c r="E52" s="400">
        <f>F52</f>
        <v>4072</v>
      </c>
      <c r="F52" s="400">
        <v>4072</v>
      </c>
      <c r="G52" s="400"/>
      <c r="H52" s="400"/>
      <c r="I52" s="400"/>
      <c r="J52" s="404"/>
      <c r="K52" s="404"/>
      <c r="L52" s="403"/>
    </row>
    <row r="53" spans="1:12" ht="31.5">
      <c r="A53" s="385"/>
      <c r="B53" s="385"/>
      <c r="C53" s="180">
        <v>4700</v>
      </c>
      <c r="D53" s="181" t="s">
        <v>575</v>
      </c>
      <c r="E53" s="96">
        <f>F53</f>
        <v>0</v>
      </c>
      <c r="F53" s="96">
        <v>0</v>
      </c>
      <c r="G53" s="400"/>
      <c r="H53" s="400"/>
      <c r="I53" s="400"/>
      <c r="J53" s="404"/>
      <c r="K53" s="404"/>
      <c r="L53" s="403"/>
    </row>
    <row r="54" spans="1:12" ht="31.5">
      <c r="A54" s="385"/>
      <c r="B54" s="385"/>
      <c r="C54" s="357">
        <v>4740</v>
      </c>
      <c r="D54" s="181" t="s">
        <v>558</v>
      </c>
      <c r="E54" s="400">
        <f>F54</f>
        <v>300</v>
      </c>
      <c r="F54" s="400">
        <v>300</v>
      </c>
      <c r="G54" s="321"/>
      <c r="H54" s="321"/>
      <c r="I54" s="400"/>
      <c r="J54" s="404"/>
      <c r="K54" s="404"/>
      <c r="L54" s="403"/>
    </row>
    <row r="55" spans="1:12" ht="31.5">
      <c r="A55" s="385"/>
      <c r="B55" s="385"/>
      <c r="C55" s="357">
        <v>4750</v>
      </c>
      <c r="D55" s="181" t="s">
        <v>576</v>
      </c>
      <c r="E55" s="400">
        <f>F55</f>
        <v>0</v>
      </c>
      <c r="F55" s="400">
        <v>0</v>
      </c>
      <c r="G55" s="321"/>
      <c r="H55" s="321"/>
      <c r="I55" s="400"/>
      <c r="J55" s="404"/>
      <c r="K55" s="404"/>
      <c r="L55" s="403"/>
    </row>
    <row r="56" spans="1:12" ht="15.75">
      <c r="A56" s="385"/>
      <c r="B56" s="385"/>
      <c r="C56" s="357">
        <v>6060</v>
      </c>
      <c r="D56" s="181" t="s">
        <v>719</v>
      </c>
      <c r="E56" s="403">
        <f>L56</f>
        <v>5500</v>
      </c>
      <c r="F56" s="403"/>
      <c r="G56" s="321"/>
      <c r="H56" s="321"/>
      <c r="I56" s="403"/>
      <c r="J56" s="404"/>
      <c r="K56" s="404"/>
      <c r="L56" s="403">
        <v>5500</v>
      </c>
    </row>
    <row r="57" spans="1:12" ht="15.75">
      <c r="A57" s="367"/>
      <c r="B57" s="367">
        <v>80195</v>
      </c>
      <c r="C57" s="367"/>
      <c r="D57" s="368" t="s">
        <v>306</v>
      </c>
      <c r="E57" s="278">
        <f aca="true" t="shared" si="9" ref="E57:L57">SUM(E58:E58)</f>
        <v>11031.85158375</v>
      </c>
      <c r="F57" s="278">
        <f t="shared" si="9"/>
        <v>11031.85158375</v>
      </c>
      <c r="G57" s="278">
        <f t="shared" si="9"/>
        <v>0</v>
      </c>
      <c r="H57" s="278">
        <f t="shared" si="9"/>
        <v>0</v>
      </c>
      <c r="I57" s="278">
        <f t="shared" si="9"/>
        <v>0</v>
      </c>
      <c r="J57" s="278">
        <f t="shared" si="9"/>
        <v>0</v>
      </c>
      <c r="K57" s="278">
        <f t="shared" si="9"/>
        <v>0</v>
      </c>
      <c r="L57" s="278">
        <f t="shared" si="9"/>
        <v>0</v>
      </c>
    </row>
    <row r="58" spans="1:12" ht="15.75">
      <c r="A58" s="65"/>
      <c r="B58" s="65"/>
      <c r="C58" s="67">
        <v>4440</v>
      </c>
      <c r="D58" s="406" t="s">
        <v>574</v>
      </c>
      <c r="E58" s="400">
        <f>F58</f>
        <v>11031.85158375</v>
      </c>
      <c r="F58" s="321">
        <f>(19*2666.77*0.0625+8*958.75)*1.018</f>
        <v>11031.85158375</v>
      </c>
      <c r="G58" s="61"/>
      <c r="H58" s="61"/>
      <c r="I58" s="321"/>
      <c r="J58" s="369"/>
      <c r="K58" s="369"/>
      <c r="L58" s="369"/>
    </row>
  </sheetData>
  <mergeCells count="14">
    <mergeCell ref="G5:K5"/>
    <mergeCell ref="L5:L6"/>
    <mergeCell ref="A25:L25"/>
    <mergeCell ref="A51:L51"/>
    <mergeCell ref="A1:L1"/>
    <mergeCell ref="A2:L2"/>
    <mergeCell ref="A3:D3"/>
    <mergeCell ref="A4:A6"/>
    <mergeCell ref="B4:B6"/>
    <mergeCell ref="C4:C6"/>
    <mergeCell ref="D4:D6"/>
    <mergeCell ref="E4:E6"/>
    <mergeCell ref="F4:L4"/>
    <mergeCell ref="F5:F6"/>
  </mergeCells>
  <printOptions/>
  <pageMargins left="0.5902777777777778" right="0.5902777777777778" top="0.5902777777777778" bottom="0.5256944444444445" header="0.5118055555555556" footer="0.3590277777777778"/>
  <pageSetup horizontalDpi="300" verticalDpi="300" orientation="landscape" paperSize="9" scale="99" r:id="rId1"/>
  <headerFooter alignWithMargins="0">
    <oddFooter>&amp;C&amp;"Times New Roman,Normalny"&amp;12Strona &amp;P z &amp;N</oddFooter>
  </headerFooter>
  <rowBreaks count="1" manualBreakCount="1">
    <brk id="2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60"/>
  <sheetViews>
    <sheetView showGridLines="0" defaultGridColor="0" view="pageBreakPreview" zoomScale="90" zoomScaleSheetLayoutView="90" colorId="15" workbookViewId="0" topLeftCell="A1">
      <selection activeCell="A2" sqref="A2"/>
    </sheetView>
  </sheetViews>
  <sheetFormatPr defaultColWidth="9.00390625" defaultRowHeight="12.75"/>
  <cols>
    <col min="1" max="1" width="5.00390625" style="371" customWidth="1"/>
    <col min="2" max="2" width="7.125" style="371" customWidth="1"/>
    <col min="3" max="3" width="6.125" style="371" customWidth="1"/>
    <col min="4" max="4" width="45.00390625" style="371" customWidth="1"/>
    <col min="5" max="5" width="14.125" style="371" customWidth="1"/>
    <col min="6" max="6" width="16.125" style="371" customWidth="1"/>
    <col min="7" max="7" width="14.125" style="371" customWidth="1"/>
    <col min="8" max="8" width="12.25390625" style="371" customWidth="1"/>
    <col min="9" max="9" width="12.625" style="371" customWidth="1"/>
    <col min="10" max="10" width="12.00390625" style="371" customWidth="1"/>
    <col min="11" max="11" width="8.75390625" style="371" customWidth="1"/>
    <col min="12" max="12" width="10.375" style="371" customWidth="1"/>
    <col min="13" max="16384" width="9.00390625" style="371" customWidth="1"/>
  </cols>
  <sheetData>
    <row r="1" spans="1:256" s="407" customFormat="1" ht="26.25" customHeight="1">
      <c r="A1" s="785" t="s">
        <v>735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  <c r="IK1" s="371"/>
      <c r="IL1" s="371"/>
      <c r="IM1" s="371"/>
      <c r="IN1" s="371"/>
      <c r="IO1" s="371"/>
      <c r="IP1" s="371"/>
      <c r="IQ1" s="371"/>
      <c r="IR1" s="371"/>
      <c r="IS1" s="371"/>
      <c r="IT1" s="371"/>
      <c r="IU1" s="371"/>
      <c r="IV1" s="371"/>
    </row>
    <row r="2" spans="1:256" s="407" customFormat="1" ht="18.75" customHeight="1">
      <c r="A2" s="786" t="s">
        <v>710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  <c r="IV2" s="371"/>
    </row>
    <row r="3" spans="1:256" s="407" customFormat="1" ht="15.75" customHeight="1">
      <c r="A3" s="787" t="s">
        <v>706</v>
      </c>
      <c r="B3" s="787"/>
      <c r="C3" s="787"/>
      <c r="D3" s="787"/>
      <c r="E3" s="408"/>
      <c r="F3" s="408"/>
      <c r="G3" s="408"/>
      <c r="H3" s="408"/>
      <c r="I3" s="408"/>
      <c r="J3" s="408"/>
      <c r="K3" s="408"/>
      <c r="L3" s="409" t="s">
        <v>274</v>
      </c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</row>
    <row r="4" spans="1:256" s="332" customFormat="1" ht="13.5" customHeight="1">
      <c r="A4" s="804" t="s">
        <v>275</v>
      </c>
      <c r="B4" s="804" t="s">
        <v>296</v>
      </c>
      <c r="C4" s="805" t="s">
        <v>297</v>
      </c>
      <c r="D4" s="805" t="s">
        <v>711</v>
      </c>
      <c r="E4" s="806" t="s">
        <v>438</v>
      </c>
      <c r="F4" s="807" t="s">
        <v>300</v>
      </c>
      <c r="G4" s="807"/>
      <c r="H4" s="807"/>
      <c r="I4" s="807"/>
      <c r="J4" s="807"/>
      <c r="K4" s="807"/>
      <c r="L4" s="807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1"/>
      <c r="HU4" s="361"/>
      <c r="HV4" s="361"/>
      <c r="HW4" s="361"/>
      <c r="HX4" s="361"/>
      <c r="HY4" s="361"/>
      <c r="HZ4" s="361"/>
      <c r="IA4" s="361"/>
      <c r="IB4" s="361"/>
      <c r="IC4" s="361"/>
      <c r="ID4" s="361"/>
      <c r="IE4" s="361"/>
      <c r="IF4" s="361"/>
      <c r="IG4" s="361"/>
      <c r="IH4" s="361"/>
      <c r="II4" s="361"/>
      <c r="IJ4" s="361"/>
      <c r="IK4" s="361"/>
      <c r="IL4" s="361"/>
      <c r="IM4" s="361"/>
      <c r="IN4" s="361"/>
      <c r="IO4" s="361"/>
      <c r="IP4" s="361"/>
      <c r="IQ4" s="361"/>
      <c r="IR4" s="361"/>
      <c r="IS4" s="361"/>
      <c r="IT4" s="361"/>
      <c r="IU4" s="361"/>
      <c r="IV4" s="361"/>
    </row>
    <row r="5" spans="1:256" s="332" customFormat="1" ht="13.5" customHeight="1">
      <c r="A5" s="804"/>
      <c r="B5" s="804"/>
      <c r="C5" s="805"/>
      <c r="D5" s="805"/>
      <c r="E5" s="806"/>
      <c r="F5" s="806" t="s">
        <v>636</v>
      </c>
      <c r="G5" s="806" t="s">
        <v>216</v>
      </c>
      <c r="H5" s="806"/>
      <c r="I5" s="806"/>
      <c r="J5" s="806"/>
      <c r="K5" s="806"/>
      <c r="L5" s="806" t="s">
        <v>465</v>
      </c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61"/>
      <c r="HU5" s="361"/>
      <c r="HV5" s="361"/>
      <c r="HW5" s="361"/>
      <c r="HX5" s="361"/>
      <c r="HY5" s="361"/>
      <c r="HZ5" s="361"/>
      <c r="IA5" s="361"/>
      <c r="IB5" s="361"/>
      <c r="IC5" s="361"/>
      <c r="ID5" s="361"/>
      <c r="IE5" s="361"/>
      <c r="IF5" s="361"/>
      <c r="IG5" s="361"/>
      <c r="IH5" s="361"/>
      <c r="II5" s="361"/>
      <c r="IJ5" s="361"/>
      <c r="IK5" s="361"/>
      <c r="IL5" s="361"/>
      <c r="IM5" s="361"/>
      <c r="IN5" s="361"/>
      <c r="IO5" s="361"/>
      <c r="IP5" s="361"/>
      <c r="IQ5" s="361"/>
      <c r="IR5" s="361"/>
      <c r="IS5" s="361"/>
      <c r="IT5" s="361"/>
      <c r="IU5" s="361"/>
      <c r="IV5" s="361"/>
    </row>
    <row r="6" spans="1:256" s="332" customFormat="1" ht="60">
      <c r="A6" s="804"/>
      <c r="B6" s="804"/>
      <c r="C6" s="805"/>
      <c r="D6" s="805"/>
      <c r="E6" s="806"/>
      <c r="F6" s="806"/>
      <c r="G6" s="411" t="s">
        <v>472</v>
      </c>
      <c r="H6" s="411" t="s">
        <v>638</v>
      </c>
      <c r="I6" s="200" t="s">
        <v>474</v>
      </c>
      <c r="J6" s="318" t="s">
        <v>468</v>
      </c>
      <c r="K6" s="410" t="s">
        <v>712</v>
      </c>
      <c r="L6" s="806"/>
      <c r="GZ6" s="361"/>
      <c r="HA6" s="361"/>
      <c r="HB6" s="361"/>
      <c r="HC6" s="361"/>
      <c r="HD6" s="361"/>
      <c r="HE6" s="361"/>
      <c r="HF6" s="361"/>
      <c r="HG6" s="361"/>
      <c r="HH6" s="361"/>
      <c r="HI6" s="361"/>
      <c r="HJ6" s="361"/>
      <c r="HK6" s="361"/>
      <c r="HL6" s="361"/>
      <c r="HM6" s="361"/>
      <c r="HN6" s="361"/>
      <c r="HO6" s="361"/>
      <c r="HP6" s="361"/>
      <c r="HQ6" s="361"/>
      <c r="HR6" s="361"/>
      <c r="HS6" s="361"/>
      <c r="HT6" s="361"/>
      <c r="HU6" s="361"/>
      <c r="HV6" s="361"/>
      <c r="HW6" s="361"/>
      <c r="HX6" s="361"/>
      <c r="HY6" s="361"/>
      <c r="HZ6" s="361"/>
      <c r="IA6" s="361"/>
      <c r="IB6" s="361"/>
      <c r="IC6" s="361"/>
      <c r="ID6" s="361"/>
      <c r="IE6" s="361"/>
      <c r="IF6" s="361"/>
      <c r="IG6" s="361"/>
      <c r="IH6" s="361"/>
      <c r="II6" s="361"/>
      <c r="IJ6" s="361"/>
      <c r="IK6" s="361"/>
      <c r="IL6" s="361"/>
      <c r="IM6" s="361"/>
      <c r="IN6" s="361"/>
      <c r="IO6" s="361"/>
      <c r="IP6" s="361"/>
      <c r="IQ6" s="361"/>
      <c r="IR6" s="361"/>
      <c r="IS6" s="361"/>
      <c r="IT6" s="361"/>
      <c r="IU6" s="361"/>
      <c r="IV6" s="361"/>
    </row>
    <row r="7" spans="1:256" s="413" customFormat="1" ht="15.75">
      <c r="A7" s="412">
        <v>1</v>
      </c>
      <c r="B7" s="412">
        <v>2</v>
      </c>
      <c r="C7" s="412">
        <v>3</v>
      </c>
      <c r="D7" s="412">
        <v>4</v>
      </c>
      <c r="E7" s="412">
        <v>5</v>
      </c>
      <c r="F7" s="412">
        <v>6</v>
      </c>
      <c r="G7" s="412">
        <v>7</v>
      </c>
      <c r="H7" s="412">
        <v>8</v>
      </c>
      <c r="I7" s="412">
        <v>9</v>
      </c>
      <c r="J7" s="412">
        <v>10</v>
      </c>
      <c r="K7" s="412">
        <v>11</v>
      </c>
      <c r="L7" s="412">
        <v>12</v>
      </c>
      <c r="GZ7" s="382"/>
      <c r="HA7" s="382"/>
      <c r="HB7" s="382"/>
      <c r="HC7" s="382"/>
      <c r="HD7" s="382"/>
      <c r="HE7" s="382"/>
      <c r="HF7" s="382"/>
      <c r="HG7" s="382"/>
      <c r="HH7" s="382"/>
      <c r="HI7" s="382"/>
      <c r="HJ7" s="382"/>
      <c r="HK7" s="382"/>
      <c r="HL7" s="382"/>
      <c r="HM7" s="382"/>
      <c r="HN7" s="382"/>
      <c r="HO7" s="382"/>
      <c r="HP7" s="382"/>
      <c r="HQ7" s="382"/>
      <c r="HR7" s="382"/>
      <c r="HS7" s="382"/>
      <c r="HT7" s="382"/>
      <c r="HU7" s="382"/>
      <c r="HV7" s="382"/>
      <c r="HW7" s="382"/>
      <c r="HX7" s="382"/>
      <c r="HY7" s="382"/>
      <c r="HZ7" s="382"/>
      <c r="IA7" s="382"/>
      <c r="IB7" s="382"/>
      <c r="IC7" s="382"/>
      <c r="ID7" s="382"/>
      <c r="IE7" s="382"/>
      <c r="IF7" s="382"/>
      <c r="IG7" s="382"/>
      <c r="IH7" s="382"/>
      <c r="II7" s="382"/>
      <c r="IJ7" s="382"/>
      <c r="IK7" s="382"/>
      <c r="IL7" s="382"/>
      <c r="IM7" s="382"/>
      <c r="IN7" s="382"/>
      <c r="IO7" s="382"/>
      <c r="IP7" s="382"/>
      <c r="IQ7" s="382"/>
      <c r="IR7" s="382"/>
      <c r="IS7" s="382"/>
      <c r="IT7" s="382"/>
      <c r="IU7" s="382"/>
      <c r="IV7" s="382"/>
    </row>
    <row r="8" spans="1:256" s="407" customFormat="1" ht="15.75">
      <c r="A8" s="414">
        <v>801</v>
      </c>
      <c r="B8" s="414"/>
      <c r="C8" s="414"/>
      <c r="D8" s="415" t="s">
        <v>399</v>
      </c>
      <c r="E8" s="230">
        <f aca="true" t="shared" si="0" ref="E8:L8">E9+E31+E37+E53</f>
        <v>3103224.2312662504</v>
      </c>
      <c r="F8" s="230">
        <f t="shared" si="0"/>
        <v>3114290.2312662504</v>
      </c>
      <c r="G8" s="230">
        <f t="shared" si="0"/>
        <v>2063881</v>
      </c>
      <c r="H8" s="230">
        <f t="shared" si="0"/>
        <v>358106.2884</v>
      </c>
      <c r="I8" s="230">
        <f t="shared" si="0"/>
        <v>508433.52729999996</v>
      </c>
      <c r="J8" s="230">
        <f t="shared" si="0"/>
        <v>8150</v>
      </c>
      <c r="K8" s="230">
        <f t="shared" si="0"/>
        <v>0</v>
      </c>
      <c r="L8" s="230">
        <f t="shared" si="0"/>
        <v>0</v>
      </c>
      <c r="GZ8" s="371"/>
      <c r="HA8" s="371"/>
      <c r="HB8" s="371"/>
      <c r="HC8" s="371"/>
      <c r="HD8" s="371"/>
      <c r="HE8" s="371"/>
      <c r="HF8" s="371"/>
      <c r="HG8" s="371"/>
      <c r="HH8" s="371"/>
      <c r="HI8" s="371"/>
      <c r="HJ8" s="371"/>
      <c r="HK8" s="371"/>
      <c r="HL8" s="371"/>
      <c r="HM8" s="371"/>
      <c r="HN8" s="371"/>
      <c r="HO8" s="371"/>
      <c r="HP8" s="371"/>
      <c r="HQ8" s="371"/>
      <c r="HR8" s="371"/>
      <c r="HS8" s="371"/>
      <c r="HT8" s="371"/>
      <c r="HU8" s="371"/>
      <c r="HV8" s="371"/>
      <c r="HW8" s="371"/>
      <c r="HX8" s="371"/>
      <c r="HY8" s="371"/>
      <c r="HZ8" s="371"/>
      <c r="IA8" s="371"/>
      <c r="IB8" s="371"/>
      <c r="IC8" s="371"/>
      <c r="ID8" s="371"/>
      <c r="IE8" s="371"/>
      <c r="IF8" s="371"/>
      <c r="IG8" s="371"/>
      <c r="IH8" s="371"/>
      <c r="II8" s="371"/>
      <c r="IJ8" s="371"/>
      <c r="IK8" s="371"/>
      <c r="IL8" s="371"/>
      <c r="IM8" s="371"/>
      <c r="IN8" s="371"/>
      <c r="IO8" s="371"/>
      <c r="IP8" s="371"/>
      <c r="IQ8" s="371"/>
      <c r="IR8" s="371"/>
      <c r="IS8" s="371"/>
      <c r="IT8" s="371"/>
      <c r="IU8" s="371"/>
      <c r="IV8" s="371"/>
    </row>
    <row r="9" spans="1:256" s="407" customFormat="1" ht="15.75">
      <c r="A9" s="416"/>
      <c r="B9" s="170">
        <v>80110</v>
      </c>
      <c r="C9" s="416"/>
      <c r="D9" s="417" t="s">
        <v>407</v>
      </c>
      <c r="E9" s="273">
        <f>SUM(E10:E29)</f>
        <v>2814296.4729</v>
      </c>
      <c r="F9" s="273">
        <f aca="true" t="shared" si="1" ref="F9:L9">SUM(F10:F36)</f>
        <v>2825362.4729</v>
      </c>
      <c r="G9" s="273">
        <f t="shared" si="1"/>
        <v>1972904</v>
      </c>
      <c r="H9" s="273">
        <f t="shared" si="1"/>
        <v>342057.94560000004</v>
      </c>
      <c r="I9" s="273">
        <f t="shared" si="1"/>
        <v>502900.52729999996</v>
      </c>
      <c r="J9" s="273">
        <f t="shared" si="1"/>
        <v>7500</v>
      </c>
      <c r="K9" s="273">
        <f t="shared" si="1"/>
        <v>0</v>
      </c>
      <c r="L9" s="273">
        <f t="shared" si="1"/>
        <v>0</v>
      </c>
      <c r="GZ9" s="371"/>
      <c r="HA9" s="371"/>
      <c r="HB9" s="371"/>
      <c r="HC9" s="371"/>
      <c r="HD9" s="371"/>
      <c r="HE9" s="371"/>
      <c r="HF9" s="371"/>
      <c r="HG9" s="371"/>
      <c r="HH9" s="371"/>
      <c r="HI9" s="371"/>
      <c r="HJ9" s="371"/>
      <c r="HK9" s="371"/>
      <c r="HL9" s="371"/>
      <c r="HM9" s="371"/>
      <c r="HN9" s="371"/>
      <c r="HO9" s="371"/>
      <c r="HP9" s="371"/>
      <c r="HQ9" s="371"/>
      <c r="HR9" s="371"/>
      <c r="HS9" s="371"/>
      <c r="HT9" s="371"/>
      <c r="HU9" s="371"/>
      <c r="HV9" s="371"/>
      <c r="HW9" s="371"/>
      <c r="HX9" s="371"/>
      <c r="HY9" s="371"/>
      <c r="HZ9" s="371"/>
      <c r="IA9" s="371"/>
      <c r="IB9" s="371"/>
      <c r="IC9" s="371"/>
      <c r="ID9" s="371"/>
      <c r="IE9" s="371"/>
      <c r="IF9" s="371"/>
      <c r="IG9" s="371"/>
      <c r="IH9" s="371"/>
      <c r="II9" s="371"/>
      <c r="IJ9" s="371"/>
      <c r="IK9" s="371"/>
      <c r="IL9" s="371"/>
      <c r="IM9" s="371"/>
      <c r="IN9" s="371"/>
      <c r="IO9" s="371"/>
      <c r="IP9" s="371"/>
      <c r="IQ9" s="371"/>
      <c r="IR9" s="371"/>
      <c r="IS9" s="371"/>
      <c r="IT9" s="371"/>
      <c r="IU9" s="371"/>
      <c r="IV9" s="371"/>
    </row>
    <row r="10" spans="1:256" s="407" customFormat="1" ht="15.75">
      <c r="A10" s="418"/>
      <c r="B10" s="418"/>
      <c r="C10" s="419">
        <v>3020</v>
      </c>
      <c r="D10" s="420" t="s">
        <v>713</v>
      </c>
      <c r="E10" s="421">
        <f aca="true" t="shared" si="2" ref="E10:E29">F10</f>
        <v>7500</v>
      </c>
      <c r="F10" s="422">
        <f>J10</f>
        <v>7500</v>
      </c>
      <c r="G10" s="423"/>
      <c r="H10" s="423"/>
      <c r="I10" s="423"/>
      <c r="J10" s="422">
        <v>7500</v>
      </c>
      <c r="K10" s="424"/>
      <c r="L10" s="423"/>
      <c r="GZ10" s="371"/>
      <c r="HA10" s="371"/>
      <c r="HB10" s="371"/>
      <c r="HC10" s="371"/>
      <c r="HD10" s="371"/>
      <c r="HE10" s="371"/>
      <c r="HF10" s="371"/>
      <c r="HG10" s="371"/>
      <c r="HH10" s="371"/>
      <c r="HI10" s="371"/>
      <c r="HJ10" s="371"/>
      <c r="HK10" s="371"/>
      <c r="HL10" s="371"/>
      <c r="HM10" s="371"/>
      <c r="HN10" s="371"/>
      <c r="HO10" s="371"/>
      <c r="HP10" s="371"/>
      <c r="HQ10" s="371"/>
      <c r="HR10" s="371"/>
      <c r="HS10" s="371"/>
      <c r="HT10" s="371"/>
      <c r="HU10" s="371"/>
      <c r="HV10" s="371"/>
      <c r="HW10" s="371"/>
      <c r="HX10" s="371"/>
      <c r="HY10" s="371"/>
      <c r="HZ10" s="371"/>
      <c r="IA10" s="371"/>
      <c r="IB10" s="371"/>
      <c r="IC10" s="371"/>
      <c r="ID10" s="371"/>
      <c r="IE10" s="371"/>
      <c r="IF10" s="371"/>
      <c r="IG10" s="371"/>
      <c r="IH10" s="371"/>
      <c r="II10" s="371"/>
      <c r="IJ10" s="371"/>
      <c r="IK10" s="371"/>
      <c r="IL10" s="371"/>
      <c r="IM10" s="371"/>
      <c r="IN10" s="371"/>
      <c r="IO10" s="371"/>
      <c r="IP10" s="371"/>
      <c r="IQ10" s="371"/>
      <c r="IR10" s="371"/>
      <c r="IS10" s="371"/>
      <c r="IT10" s="371"/>
      <c r="IU10" s="371"/>
      <c r="IV10" s="371"/>
    </row>
    <row r="11" spans="1:256" s="407" customFormat="1" ht="15.75">
      <c r="A11" s="418"/>
      <c r="B11" s="418"/>
      <c r="C11" s="419">
        <v>4010</v>
      </c>
      <c r="D11" s="420" t="s">
        <v>545</v>
      </c>
      <c r="E11" s="421">
        <f t="shared" si="2"/>
        <v>1789461</v>
      </c>
      <c r="F11" s="422">
        <f>G11</f>
        <v>1789461</v>
      </c>
      <c r="G11" s="422">
        <f>1422858+366603</f>
        <v>1789461</v>
      </c>
      <c r="H11" s="422"/>
      <c r="I11" s="422"/>
      <c r="J11" s="425"/>
      <c r="K11" s="425"/>
      <c r="L11" s="422"/>
      <c r="GZ11" s="371"/>
      <c r="HA11" s="371"/>
      <c r="HB11" s="371"/>
      <c r="HC11" s="371"/>
      <c r="HD11" s="371"/>
      <c r="HE11" s="371"/>
      <c r="HF11" s="371"/>
      <c r="HG11" s="371"/>
      <c r="HH11" s="371"/>
      <c r="HI11" s="371"/>
      <c r="HJ11" s="371"/>
      <c r="HK11" s="371"/>
      <c r="HL11" s="371"/>
      <c r="HM11" s="371"/>
      <c r="HN11" s="371"/>
      <c r="HO11" s="371"/>
      <c r="HP11" s="371"/>
      <c r="HQ11" s="371"/>
      <c r="HR11" s="371"/>
      <c r="HS11" s="371"/>
      <c r="HT11" s="371"/>
      <c r="HU11" s="371"/>
      <c r="HV11" s="371"/>
      <c r="HW11" s="371"/>
      <c r="HX11" s="371"/>
      <c r="HY11" s="371"/>
      <c r="HZ11" s="371"/>
      <c r="IA11" s="371"/>
      <c r="IB11" s="371"/>
      <c r="IC11" s="371"/>
      <c r="ID11" s="371"/>
      <c r="IE11" s="371"/>
      <c r="IF11" s="371"/>
      <c r="IG11" s="371"/>
      <c r="IH11" s="371"/>
      <c r="II11" s="371"/>
      <c r="IJ11" s="371"/>
      <c r="IK11" s="371"/>
      <c r="IL11" s="371"/>
      <c r="IM11" s="371"/>
      <c r="IN11" s="371"/>
      <c r="IO11" s="371"/>
      <c r="IP11" s="371"/>
      <c r="IQ11" s="371"/>
      <c r="IR11" s="371"/>
      <c r="IS11" s="371"/>
      <c r="IT11" s="371"/>
      <c r="IU11" s="371"/>
      <c r="IV11" s="371"/>
    </row>
    <row r="12" spans="1:256" s="407" customFormat="1" ht="15.75">
      <c r="A12" s="418"/>
      <c r="B12" s="418"/>
      <c r="C12" s="419">
        <v>4040</v>
      </c>
      <c r="D12" s="420" t="s">
        <v>562</v>
      </c>
      <c r="E12" s="421">
        <f t="shared" si="2"/>
        <v>149643</v>
      </c>
      <c r="F12" s="422">
        <f>G12</f>
        <v>149643</v>
      </c>
      <c r="G12" s="422">
        <v>149643</v>
      </c>
      <c r="H12" s="422"/>
      <c r="I12" s="422"/>
      <c r="J12" s="425"/>
      <c r="K12" s="425"/>
      <c r="L12" s="422"/>
      <c r="GZ12" s="371"/>
      <c r="HA12" s="371"/>
      <c r="HB12" s="371"/>
      <c r="HC12" s="371"/>
      <c r="HD12" s="371"/>
      <c r="HE12" s="371"/>
      <c r="HF12" s="371"/>
      <c r="HG12" s="371"/>
      <c r="HH12" s="371"/>
      <c r="HI12" s="371"/>
      <c r="HJ12" s="371"/>
      <c r="HK12" s="371"/>
      <c r="HL12" s="371"/>
      <c r="HM12" s="371"/>
      <c r="HN12" s="371"/>
      <c r="HO12" s="371"/>
      <c r="HP12" s="371"/>
      <c r="HQ12" s="371"/>
      <c r="HR12" s="371"/>
      <c r="HS12" s="371"/>
      <c r="HT12" s="371"/>
      <c r="HU12" s="371"/>
      <c r="HV12" s="371"/>
      <c r="HW12" s="371"/>
      <c r="HX12" s="371"/>
      <c r="HY12" s="371"/>
      <c r="HZ12" s="371"/>
      <c r="IA12" s="371"/>
      <c r="IB12" s="371"/>
      <c r="IC12" s="371"/>
      <c r="ID12" s="371"/>
      <c r="IE12" s="371"/>
      <c r="IF12" s="371"/>
      <c r="IG12" s="371"/>
      <c r="IH12" s="371"/>
      <c r="II12" s="371"/>
      <c r="IJ12" s="371"/>
      <c r="IK12" s="371"/>
      <c r="IL12" s="371"/>
      <c r="IM12" s="371"/>
      <c r="IN12" s="371"/>
      <c r="IO12" s="371"/>
      <c r="IP12" s="371"/>
      <c r="IQ12" s="371"/>
      <c r="IR12" s="371"/>
      <c r="IS12" s="371"/>
      <c r="IT12" s="371"/>
      <c r="IU12" s="371"/>
      <c r="IV12" s="371"/>
    </row>
    <row r="13" spans="1:256" s="407" customFormat="1" ht="15.75">
      <c r="A13" s="418"/>
      <c r="B13" s="418"/>
      <c r="C13" s="419">
        <v>4110</v>
      </c>
      <c r="D13" s="420" t="s">
        <v>563</v>
      </c>
      <c r="E13" s="421">
        <f t="shared" si="2"/>
        <v>294549.8976</v>
      </c>
      <c r="F13" s="422">
        <f>H13</f>
        <v>294549.8976</v>
      </c>
      <c r="G13" s="422"/>
      <c r="H13" s="70">
        <f>(G11+G12)*0.1519</f>
        <v>294549.8976</v>
      </c>
      <c r="I13" s="422"/>
      <c r="J13" s="425"/>
      <c r="K13" s="425"/>
      <c r="L13" s="422"/>
      <c r="GZ13" s="371"/>
      <c r="HA13" s="371"/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/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  <c r="IT13" s="371"/>
      <c r="IU13" s="371"/>
      <c r="IV13" s="371"/>
    </row>
    <row r="14" spans="1:256" s="407" customFormat="1" ht="15.75">
      <c r="A14" s="418"/>
      <c r="B14" s="418"/>
      <c r="C14" s="419">
        <v>4120</v>
      </c>
      <c r="D14" s="420" t="s">
        <v>564</v>
      </c>
      <c r="E14" s="421">
        <f t="shared" si="2"/>
        <v>47508.048</v>
      </c>
      <c r="F14" s="422">
        <f>H14</f>
        <v>47508.048</v>
      </c>
      <c r="G14" s="422"/>
      <c r="H14" s="70">
        <f>(G12+G11)*0.0245</f>
        <v>47508.048</v>
      </c>
      <c r="I14" s="422"/>
      <c r="J14" s="425"/>
      <c r="K14" s="425"/>
      <c r="L14" s="422"/>
      <c r="GZ14" s="371"/>
      <c r="HA14" s="371"/>
      <c r="HB14" s="371"/>
      <c r="HC14" s="371"/>
      <c r="HD14" s="371"/>
      <c r="HE14" s="371"/>
      <c r="HF14" s="371"/>
      <c r="HG14" s="371"/>
      <c r="HH14" s="371"/>
      <c r="HI14" s="371"/>
      <c r="HJ14" s="371"/>
      <c r="HK14" s="371"/>
      <c r="HL14" s="371"/>
      <c r="HM14" s="371"/>
      <c r="HN14" s="371"/>
      <c r="HO14" s="371"/>
      <c r="HP14" s="371"/>
      <c r="HQ14" s="371"/>
      <c r="HR14" s="371"/>
      <c r="HS14" s="371"/>
      <c r="HT14" s="371"/>
      <c r="HU14" s="371"/>
      <c r="HV14" s="371"/>
      <c r="HW14" s="371"/>
      <c r="HX14" s="371"/>
      <c r="HY14" s="371"/>
      <c r="HZ14" s="371"/>
      <c r="IA14" s="371"/>
      <c r="IB14" s="371"/>
      <c r="IC14" s="371"/>
      <c r="ID14" s="371"/>
      <c r="IE14" s="371"/>
      <c r="IF14" s="371"/>
      <c r="IG14" s="371"/>
      <c r="IH14" s="371"/>
      <c r="II14" s="371"/>
      <c r="IJ14" s="371"/>
      <c r="IK14" s="371"/>
      <c r="IL14" s="371"/>
      <c r="IM14" s="371"/>
      <c r="IN14" s="371"/>
      <c r="IO14" s="371"/>
      <c r="IP14" s="371"/>
      <c r="IQ14" s="371"/>
      <c r="IR14" s="371"/>
      <c r="IS14" s="371"/>
      <c r="IT14" s="371"/>
      <c r="IU14" s="371"/>
      <c r="IV14" s="371"/>
    </row>
    <row r="15" spans="1:256" s="407" customFormat="1" ht="15.75">
      <c r="A15" s="418"/>
      <c r="B15" s="418"/>
      <c r="C15" s="419">
        <v>4170</v>
      </c>
      <c r="D15" s="420" t="s">
        <v>715</v>
      </c>
      <c r="E15" s="421">
        <f t="shared" si="2"/>
        <v>33800</v>
      </c>
      <c r="F15" s="422">
        <f>G15</f>
        <v>33800</v>
      </c>
      <c r="G15" s="422">
        <v>33800</v>
      </c>
      <c r="H15" s="422"/>
      <c r="I15" s="422"/>
      <c r="J15" s="425"/>
      <c r="K15" s="425"/>
      <c r="L15" s="422"/>
      <c r="GZ15" s="371"/>
      <c r="HA15" s="371"/>
      <c r="HB15" s="371"/>
      <c r="HC15" s="371"/>
      <c r="HD15" s="371"/>
      <c r="HE15" s="371"/>
      <c r="HF15" s="371"/>
      <c r="HG15" s="371"/>
      <c r="HH15" s="371"/>
      <c r="HI15" s="371"/>
      <c r="HJ15" s="371"/>
      <c r="HK15" s="371"/>
      <c r="HL15" s="371"/>
      <c r="HM15" s="371"/>
      <c r="HN15" s="371"/>
      <c r="HO15" s="371"/>
      <c r="HP15" s="371"/>
      <c r="HQ15" s="371"/>
      <c r="HR15" s="371"/>
      <c r="HS15" s="371"/>
      <c r="HT15" s="371"/>
      <c r="HU15" s="371"/>
      <c r="HV15" s="371"/>
      <c r="HW15" s="371"/>
      <c r="HX15" s="371"/>
      <c r="HY15" s="371"/>
      <c r="HZ15" s="371"/>
      <c r="IA15" s="371"/>
      <c r="IB15" s="371"/>
      <c r="IC15" s="371"/>
      <c r="ID15" s="371"/>
      <c r="IE15" s="371"/>
      <c r="IF15" s="371"/>
      <c r="IG15" s="371"/>
      <c r="IH15" s="371"/>
      <c r="II15" s="371"/>
      <c r="IJ15" s="371"/>
      <c r="IK15" s="371"/>
      <c r="IL15" s="371"/>
      <c r="IM15" s="371"/>
      <c r="IN15" s="371"/>
      <c r="IO15" s="371"/>
      <c r="IP15" s="371"/>
      <c r="IQ15" s="371"/>
      <c r="IR15" s="371"/>
      <c r="IS15" s="371"/>
      <c r="IT15" s="371"/>
      <c r="IU15" s="371"/>
      <c r="IV15" s="371"/>
    </row>
    <row r="16" spans="1:256" s="407" customFormat="1" ht="15.75">
      <c r="A16" s="418"/>
      <c r="B16" s="418"/>
      <c r="C16" s="419">
        <v>4210</v>
      </c>
      <c r="D16" s="420" t="s">
        <v>555</v>
      </c>
      <c r="E16" s="421">
        <f t="shared" si="2"/>
        <v>28000</v>
      </c>
      <c r="F16" s="422">
        <f aca="true" t="shared" si="3" ref="F16:F29">I16</f>
        <v>28000</v>
      </c>
      <c r="G16" s="422"/>
      <c r="H16" s="422"/>
      <c r="I16" s="422">
        <v>28000</v>
      </c>
      <c r="J16" s="425"/>
      <c r="K16" s="425"/>
      <c r="L16" s="422"/>
      <c r="GZ16" s="371"/>
      <c r="HA16" s="371"/>
      <c r="HB16" s="371"/>
      <c r="HC16" s="371"/>
      <c r="HD16" s="371"/>
      <c r="HE16" s="371"/>
      <c r="HF16" s="371"/>
      <c r="HG16" s="371"/>
      <c r="HH16" s="371"/>
      <c r="HI16" s="371"/>
      <c r="HJ16" s="371"/>
      <c r="HK16" s="371"/>
      <c r="HL16" s="371"/>
      <c r="HM16" s="371"/>
      <c r="HN16" s="371"/>
      <c r="HO16" s="371"/>
      <c r="HP16" s="371"/>
      <c r="HQ16" s="371"/>
      <c r="HR16" s="371"/>
      <c r="HS16" s="371"/>
      <c r="HT16" s="371"/>
      <c r="HU16" s="371"/>
      <c r="HV16" s="371"/>
      <c r="HW16" s="371"/>
      <c r="HX16" s="371"/>
      <c r="HY16" s="371"/>
      <c r="HZ16" s="371"/>
      <c r="IA16" s="371"/>
      <c r="IB16" s="371"/>
      <c r="IC16" s="371"/>
      <c r="ID16" s="371"/>
      <c r="IE16" s="371"/>
      <c r="IF16" s="371"/>
      <c r="IG16" s="371"/>
      <c r="IH16" s="371"/>
      <c r="II16" s="371"/>
      <c r="IJ16" s="371"/>
      <c r="IK16" s="371"/>
      <c r="IL16" s="371"/>
      <c r="IM16" s="371"/>
      <c r="IN16" s="371"/>
      <c r="IO16" s="371"/>
      <c r="IP16" s="371"/>
      <c r="IQ16" s="371"/>
      <c r="IR16" s="371"/>
      <c r="IS16" s="371"/>
      <c r="IT16" s="371"/>
      <c r="IU16" s="371"/>
      <c r="IV16" s="371"/>
    </row>
    <row r="17" spans="1:256" s="407" customFormat="1" ht="31.5">
      <c r="A17" s="418"/>
      <c r="B17" s="418"/>
      <c r="C17" s="419">
        <v>4240</v>
      </c>
      <c r="D17" s="420" t="s">
        <v>556</v>
      </c>
      <c r="E17" s="421">
        <f t="shared" si="2"/>
        <v>10000</v>
      </c>
      <c r="F17" s="422">
        <f t="shared" si="3"/>
        <v>10000</v>
      </c>
      <c r="G17" s="422"/>
      <c r="H17" s="422"/>
      <c r="I17" s="422">
        <v>10000</v>
      </c>
      <c r="J17" s="425"/>
      <c r="K17" s="425"/>
      <c r="L17" s="422"/>
      <c r="GZ17" s="371"/>
      <c r="HA17" s="371"/>
      <c r="HB17" s="371"/>
      <c r="HC17" s="371"/>
      <c r="HD17" s="371"/>
      <c r="HE17" s="371"/>
      <c r="HF17" s="371"/>
      <c r="HG17" s="371"/>
      <c r="HH17" s="371"/>
      <c r="HI17" s="371"/>
      <c r="HJ17" s="371"/>
      <c r="HK17" s="371"/>
      <c r="HL17" s="371"/>
      <c r="HM17" s="371"/>
      <c r="HN17" s="371"/>
      <c r="HO17" s="371"/>
      <c r="HP17" s="371"/>
      <c r="HQ17" s="371"/>
      <c r="HR17" s="371"/>
      <c r="HS17" s="371"/>
      <c r="HT17" s="371"/>
      <c r="HU17" s="371"/>
      <c r="HV17" s="371"/>
      <c r="HW17" s="371"/>
      <c r="HX17" s="371"/>
      <c r="HY17" s="371"/>
      <c r="HZ17" s="371"/>
      <c r="IA17" s="371"/>
      <c r="IB17" s="371"/>
      <c r="IC17" s="371"/>
      <c r="ID17" s="371"/>
      <c r="IE17" s="371"/>
      <c r="IF17" s="371"/>
      <c r="IG17" s="371"/>
      <c r="IH17" s="371"/>
      <c r="II17" s="371"/>
      <c r="IJ17" s="371"/>
      <c r="IK17" s="371"/>
      <c r="IL17" s="371"/>
      <c r="IM17" s="371"/>
      <c r="IN17" s="371"/>
      <c r="IO17" s="371"/>
      <c r="IP17" s="371"/>
      <c r="IQ17" s="371"/>
      <c r="IR17" s="371"/>
      <c r="IS17" s="371"/>
      <c r="IT17" s="371"/>
      <c r="IU17" s="371"/>
      <c r="IV17" s="371"/>
    </row>
    <row r="18" spans="1:256" s="407" customFormat="1" ht="15.75">
      <c r="A18" s="418"/>
      <c r="B18" s="418"/>
      <c r="C18" s="419">
        <v>4260</v>
      </c>
      <c r="D18" s="420" t="s">
        <v>567</v>
      </c>
      <c r="E18" s="421">
        <f t="shared" si="2"/>
        <v>280000</v>
      </c>
      <c r="F18" s="422">
        <f t="shared" si="3"/>
        <v>280000</v>
      </c>
      <c r="G18" s="422"/>
      <c r="H18" s="422"/>
      <c r="I18" s="422">
        <v>280000</v>
      </c>
      <c r="J18" s="425"/>
      <c r="K18" s="425"/>
      <c r="L18" s="422"/>
      <c r="GZ18" s="371"/>
      <c r="HA18" s="371"/>
      <c r="HB18" s="371"/>
      <c r="HC18" s="371"/>
      <c r="HD18" s="371"/>
      <c r="HE18" s="371"/>
      <c r="HF18" s="371"/>
      <c r="HG18" s="371"/>
      <c r="HH18" s="371"/>
      <c r="HI18" s="371"/>
      <c r="HJ18" s="371"/>
      <c r="HK18" s="371"/>
      <c r="HL18" s="371"/>
      <c r="HM18" s="371"/>
      <c r="HN18" s="371"/>
      <c r="HO18" s="371"/>
      <c r="HP18" s="371"/>
      <c r="HQ18" s="371"/>
      <c r="HR18" s="371"/>
      <c r="HS18" s="371"/>
      <c r="HT18" s="371"/>
      <c r="HU18" s="371"/>
      <c r="HV18" s="371"/>
      <c r="HW18" s="371"/>
      <c r="HX18" s="371"/>
      <c r="HY18" s="371"/>
      <c r="HZ18" s="371"/>
      <c r="IA18" s="371"/>
      <c r="IB18" s="371"/>
      <c r="IC18" s="371"/>
      <c r="ID18" s="371"/>
      <c r="IE18" s="371"/>
      <c r="IF18" s="371"/>
      <c r="IG18" s="371"/>
      <c r="IH18" s="371"/>
      <c r="II18" s="371"/>
      <c r="IJ18" s="371"/>
      <c r="IK18" s="371"/>
      <c r="IL18" s="371"/>
      <c r="IM18" s="371"/>
      <c r="IN18" s="371"/>
      <c r="IO18" s="371"/>
      <c r="IP18" s="371"/>
      <c r="IQ18" s="371"/>
      <c r="IR18" s="371"/>
      <c r="IS18" s="371"/>
      <c r="IT18" s="371"/>
      <c r="IU18" s="371"/>
      <c r="IV18" s="371"/>
    </row>
    <row r="19" spans="1:256" s="407" customFormat="1" ht="15.75">
      <c r="A19" s="418"/>
      <c r="B19" s="418"/>
      <c r="C19" s="419">
        <v>4270</v>
      </c>
      <c r="D19" s="420" t="s">
        <v>507</v>
      </c>
      <c r="E19" s="421">
        <f t="shared" si="2"/>
        <v>10000</v>
      </c>
      <c r="F19" s="422">
        <f t="shared" si="3"/>
        <v>10000</v>
      </c>
      <c r="G19" s="426"/>
      <c r="H19" s="426"/>
      <c r="I19" s="422">
        <v>10000</v>
      </c>
      <c r="J19" s="427"/>
      <c r="K19" s="427"/>
      <c r="L19" s="426"/>
      <c r="GZ19" s="371"/>
      <c r="HA19" s="371"/>
      <c r="HB19" s="371"/>
      <c r="HC19" s="371"/>
      <c r="HD19" s="371"/>
      <c r="HE19" s="371"/>
      <c r="HF19" s="371"/>
      <c r="HG19" s="371"/>
      <c r="HH19" s="371"/>
      <c r="HI19" s="371"/>
      <c r="HJ19" s="371"/>
      <c r="HK19" s="371"/>
      <c r="HL19" s="371"/>
      <c r="HM19" s="371"/>
      <c r="HN19" s="371"/>
      <c r="HO19" s="371"/>
      <c r="HP19" s="371"/>
      <c r="HQ19" s="371"/>
      <c r="HR19" s="371"/>
      <c r="HS19" s="371"/>
      <c r="HT19" s="371"/>
      <c r="HU19" s="371"/>
      <c r="HV19" s="371"/>
      <c r="HW19" s="371"/>
      <c r="HX19" s="371"/>
      <c r="HY19" s="371"/>
      <c r="HZ19" s="371"/>
      <c r="IA19" s="371"/>
      <c r="IB19" s="371"/>
      <c r="IC19" s="371"/>
      <c r="ID19" s="371"/>
      <c r="IE19" s="371"/>
      <c r="IF19" s="371"/>
      <c r="IG19" s="371"/>
      <c r="IH19" s="371"/>
      <c r="II19" s="371"/>
      <c r="IJ19" s="371"/>
      <c r="IK19" s="371"/>
      <c r="IL19" s="371"/>
      <c r="IM19" s="371"/>
      <c r="IN19" s="371"/>
      <c r="IO19" s="371"/>
      <c r="IP19" s="371"/>
      <c r="IQ19" s="371"/>
      <c r="IR19" s="371"/>
      <c r="IS19" s="371"/>
      <c r="IT19" s="371"/>
      <c r="IU19" s="371"/>
      <c r="IV19" s="371"/>
    </row>
    <row r="20" spans="1:256" s="407" customFormat="1" ht="15.75">
      <c r="A20" s="418"/>
      <c r="B20" s="418"/>
      <c r="C20" s="419">
        <v>4280</v>
      </c>
      <c r="D20" s="420" t="s">
        <v>568</v>
      </c>
      <c r="E20" s="421">
        <f t="shared" si="2"/>
        <v>2500</v>
      </c>
      <c r="F20" s="422">
        <f t="shared" si="3"/>
        <v>2500</v>
      </c>
      <c r="G20" s="422"/>
      <c r="H20" s="422"/>
      <c r="I20" s="422">
        <v>2500</v>
      </c>
      <c r="J20" s="425"/>
      <c r="K20" s="425"/>
      <c r="L20" s="422"/>
      <c r="GZ20" s="371"/>
      <c r="HA20" s="371"/>
      <c r="HB20" s="371"/>
      <c r="HC20" s="371"/>
      <c r="HD20" s="371"/>
      <c r="HE20" s="371"/>
      <c r="HF20" s="371"/>
      <c r="HG20" s="371"/>
      <c r="HH20" s="371"/>
      <c r="HI20" s="371"/>
      <c r="HJ20" s="371"/>
      <c r="HK20" s="371"/>
      <c r="HL20" s="371"/>
      <c r="HM20" s="371"/>
      <c r="HN20" s="371"/>
      <c r="HO20" s="371"/>
      <c r="HP20" s="371"/>
      <c r="HQ20" s="371"/>
      <c r="HR20" s="371"/>
      <c r="HS20" s="371"/>
      <c r="HT20" s="371"/>
      <c r="HU20" s="371"/>
      <c r="HV20" s="371"/>
      <c r="HW20" s="371"/>
      <c r="HX20" s="371"/>
      <c r="HY20" s="371"/>
      <c r="HZ20" s="371"/>
      <c r="IA20" s="371"/>
      <c r="IB20" s="371"/>
      <c r="IC20" s="371"/>
      <c r="ID20" s="371"/>
      <c r="IE20" s="371"/>
      <c r="IF20" s="371"/>
      <c r="IG20" s="371"/>
      <c r="IH20" s="371"/>
      <c r="II20" s="371"/>
      <c r="IJ20" s="371"/>
      <c r="IK20" s="371"/>
      <c r="IL20" s="371"/>
      <c r="IM20" s="371"/>
      <c r="IN20" s="371"/>
      <c r="IO20" s="371"/>
      <c r="IP20" s="371"/>
      <c r="IQ20" s="371"/>
      <c r="IR20" s="371"/>
      <c r="IS20" s="371"/>
      <c r="IT20" s="371"/>
      <c r="IU20" s="371"/>
      <c r="IV20" s="371"/>
    </row>
    <row r="21" spans="1:256" s="407" customFormat="1" ht="15.75">
      <c r="A21" s="418"/>
      <c r="B21" s="418"/>
      <c r="C21" s="419">
        <v>4300</v>
      </c>
      <c r="D21" s="420" t="s">
        <v>569</v>
      </c>
      <c r="E21" s="421">
        <f t="shared" si="2"/>
        <v>37900</v>
      </c>
      <c r="F21" s="422">
        <f t="shared" si="3"/>
        <v>37900</v>
      </c>
      <c r="G21" s="426"/>
      <c r="H21" s="426"/>
      <c r="I21" s="422">
        <v>37900</v>
      </c>
      <c r="J21" s="427"/>
      <c r="K21" s="427"/>
      <c r="L21" s="426"/>
      <c r="GZ21" s="371"/>
      <c r="HA21" s="371"/>
      <c r="HB21" s="371"/>
      <c r="HC21" s="371"/>
      <c r="HD21" s="371"/>
      <c r="HE21" s="371"/>
      <c r="HF21" s="371"/>
      <c r="HG21" s="371"/>
      <c r="HH21" s="371"/>
      <c r="HI21" s="371"/>
      <c r="HJ21" s="371"/>
      <c r="HK21" s="371"/>
      <c r="HL21" s="371"/>
      <c r="HM21" s="371"/>
      <c r="HN21" s="371"/>
      <c r="HO21" s="371"/>
      <c r="HP21" s="371"/>
      <c r="HQ21" s="371"/>
      <c r="HR21" s="371"/>
      <c r="HS21" s="371"/>
      <c r="HT21" s="371"/>
      <c r="HU21" s="371"/>
      <c r="HV21" s="371"/>
      <c r="HW21" s="371"/>
      <c r="HX21" s="371"/>
      <c r="HY21" s="371"/>
      <c r="HZ21" s="371"/>
      <c r="IA21" s="371"/>
      <c r="IB21" s="371"/>
      <c r="IC21" s="371"/>
      <c r="ID21" s="371"/>
      <c r="IE21" s="371"/>
      <c r="IF21" s="371"/>
      <c r="IG21" s="371"/>
      <c r="IH21" s="371"/>
      <c r="II21" s="371"/>
      <c r="IJ21" s="371"/>
      <c r="IK21" s="371"/>
      <c r="IL21" s="371"/>
      <c r="IM21" s="371"/>
      <c r="IN21" s="371"/>
      <c r="IO21" s="371"/>
      <c r="IP21" s="371"/>
      <c r="IQ21" s="371"/>
      <c r="IR21" s="371"/>
      <c r="IS21" s="371"/>
      <c r="IT21" s="371"/>
      <c r="IU21" s="371"/>
      <c r="IV21" s="371"/>
    </row>
    <row r="22" spans="1:256" s="407" customFormat="1" ht="15.75">
      <c r="A22" s="418"/>
      <c r="B22" s="418"/>
      <c r="C22" s="419">
        <v>4350</v>
      </c>
      <c r="D22" s="420" t="s">
        <v>570</v>
      </c>
      <c r="E22" s="421">
        <f t="shared" si="2"/>
        <v>500</v>
      </c>
      <c r="F22" s="422">
        <f t="shared" si="3"/>
        <v>500</v>
      </c>
      <c r="G22" s="422"/>
      <c r="H22" s="422"/>
      <c r="I22" s="422">
        <v>500</v>
      </c>
      <c r="J22" s="425"/>
      <c r="K22" s="425"/>
      <c r="L22" s="422"/>
      <c r="GZ22" s="371"/>
      <c r="HA22" s="371"/>
      <c r="HB22" s="371"/>
      <c r="HC22" s="371"/>
      <c r="HD22" s="371"/>
      <c r="HE22" s="371"/>
      <c r="HF22" s="371"/>
      <c r="HG22" s="371"/>
      <c r="HH22" s="371"/>
      <c r="HI22" s="371"/>
      <c r="HJ22" s="371"/>
      <c r="HK22" s="371"/>
      <c r="HL22" s="371"/>
      <c r="HM22" s="371"/>
      <c r="HN22" s="371"/>
      <c r="HO22" s="371"/>
      <c r="HP22" s="371"/>
      <c r="HQ22" s="371"/>
      <c r="HR22" s="371"/>
      <c r="HS22" s="371"/>
      <c r="HT22" s="371"/>
      <c r="HU22" s="371"/>
      <c r="HV22" s="371"/>
      <c r="HW22" s="371"/>
      <c r="HX22" s="371"/>
      <c r="HY22" s="371"/>
      <c r="HZ22" s="371"/>
      <c r="IA22" s="371"/>
      <c r="IB22" s="371"/>
      <c r="IC22" s="371"/>
      <c r="ID22" s="371"/>
      <c r="IE22" s="371"/>
      <c r="IF22" s="371"/>
      <c r="IG22" s="371"/>
      <c r="IH22" s="371"/>
      <c r="II22" s="371"/>
      <c r="IJ22" s="371"/>
      <c r="IK22" s="371"/>
      <c r="IL22" s="371"/>
      <c r="IM22" s="371"/>
      <c r="IN22" s="371"/>
      <c r="IO22" s="371"/>
      <c r="IP22" s="371"/>
      <c r="IQ22" s="371"/>
      <c r="IR22" s="371"/>
      <c r="IS22" s="371"/>
      <c r="IT22" s="371"/>
      <c r="IU22" s="371"/>
      <c r="IV22" s="371"/>
    </row>
    <row r="23" spans="1:256" s="407" customFormat="1" ht="31.5">
      <c r="A23" s="418"/>
      <c r="B23" s="418"/>
      <c r="C23" s="419">
        <v>4370</v>
      </c>
      <c r="D23" s="420" t="s">
        <v>716</v>
      </c>
      <c r="E23" s="421">
        <f t="shared" si="2"/>
        <v>4000</v>
      </c>
      <c r="F23" s="422">
        <f t="shared" si="3"/>
        <v>4000</v>
      </c>
      <c r="G23" s="422"/>
      <c r="H23" s="422"/>
      <c r="I23" s="422">
        <v>4000</v>
      </c>
      <c r="J23" s="425"/>
      <c r="K23" s="425"/>
      <c r="L23" s="422"/>
      <c r="GZ23" s="371"/>
      <c r="HA23" s="371"/>
      <c r="HB23" s="371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1"/>
      <c r="HV23" s="371"/>
      <c r="HW23" s="371"/>
      <c r="HX23" s="371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  <c r="IK23" s="371"/>
      <c r="IL23" s="371"/>
      <c r="IM23" s="371"/>
      <c r="IN23" s="371"/>
      <c r="IO23" s="371"/>
      <c r="IP23" s="371"/>
      <c r="IQ23" s="371"/>
      <c r="IR23" s="371"/>
      <c r="IS23" s="371"/>
      <c r="IT23" s="371"/>
      <c r="IU23" s="371"/>
      <c r="IV23" s="371"/>
    </row>
    <row r="24" spans="1:256" s="407" customFormat="1" ht="15.75">
      <c r="A24" s="418"/>
      <c r="B24" s="418"/>
      <c r="C24" s="419">
        <v>4410</v>
      </c>
      <c r="D24" s="420" t="s">
        <v>572</v>
      </c>
      <c r="E24" s="421">
        <f t="shared" si="2"/>
        <v>2000</v>
      </c>
      <c r="F24" s="422">
        <f t="shared" si="3"/>
        <v>2000</v>
      </c>
      <c r="G24" s="422"/>
      <c r="H24" s="422"/>
      <c r="I24" s="422">
        <v>2000</v>
      </c>
      <c r="J24" s="425"/>
      <c r="K24" s="425"/>
      <c r="L24" s="422"/>
      <c r="GZ24" s="371"/>
      <c r="HA24" s="371"/>
      <c r="HB24" s="371"/>
      <c r="HC24" s="371"/>
      <c r="HD24" s="371"/>
      <c r="HE24" s="371"/>
      <c r="HF24" s="371"/>
      <c r="HG24" s="371"/>
      <c r="HH24" s="371"/>
      <c r="HI24" s="371"/>
      <c r="HJ24" s="371"/>
      <c r="HK24" s="371"/>
      <c r="HL24" s="371"/>
      <c r="HM24" s="371"/>
      <c r="HN24" s="371"/>
      <c r="HO24" s="371"/>
      <c r="HP24" s="371"/>
      <c r="HQ24" s="371"/>
      <c r="HR24" s="371"/>
      <c r="HS24" s="371"/>
      <c r="HT24" s="371"/>
      <c r="HU24" s="371"/>
      <c r="HV24" s="371"/>
      <c r="HW24" s="371"/>
      <c r="HX24" s="371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  <c r="IK24" s="371"/>
      <c r="IL24" s="371"/>
      <c r="IM24" s="371"/>
      <c r="IN24" s="371"/>
      <c r="IO24" s="371"/>
      <c r="IP24" s="371"/>
      <c r="IQ24" s="371"/>
      <c r="IR24" s="371"/>
      <c r="IS24" s="371"/>
      <c r="IT24" s="371"/>
      <c r="IU24" s="371"/>
      <c r="IV24" s="371"/>
    </row>
    <row r="25" spans="1:256" s="407" customFormat="1" ht="15.75">
      <c r="A25" s="418"/>
      <c r="B25" s="418"/>
      <c r="C25" s="419">
        <v>4430</v>
      </c>
      <c r="D25" s="420" t="s">
        <v>573</v>
      </c>
      <c r="E25" s="421">
        <f t="shared" si="2"/>
        <v>2000</v>
      </c>
      <c r="F25" s="422">
        <f t="shared" si="3"/>
        <v>2000</v>
      </c>
      <c r="G25" s="422"/>
      <c r="H25" s="422"/>
      <c r="I25" s="422">
        <v>2000</v>
      </c>
      <c r="J25" s="425"/>
      <c r="K25" s="425"/>
      <c r="L25" s="422"/>
      <c r="GZ25" s="371"/>
      <c r="HA25" s="371"/>
      <c r="HB25" s="371"/>
      <c r="HC25" s="371"/>
      <c r="HD25" s="371"/>
      <c r="HE25" s="371"/>
      <c r="HF25" s="371"/>
      <c r="HG25" s="371"/>
      <c r="HH25" s="371"/>
      <c r="HI25" s="371"/>
      <c r="HJ25" s="371"/>
      <c r="HK25" s="371"/>
      <c r="HL25" s="371"/>
      <c r="HM25" s="371"/>
      <c r="HN25" s="371"/>
      <c r="HO25" s="371"/>
      <c r="HP25" s="371"/>
      <c r="HQ25" s="371"/>
      <c r="HR25" s="371"/>
      <c r="HS25" s="371"/>
      <c r="HT25" s="371"/>
      <c r="HU25" s="371"/>
      <c r="HV25" s="371"/>
      <c r="HW25" s="371"/>
      <c r="HX25" s="371"/>
      <c r="HY25" s="371"/>
      <c r="HZ25" s="371"/>
      <c r="IA25" s="371"/>
      <c r="IB25" s="371"/>
      <c r="IC25" s="371"/>
      <c r="ID25" s="371"/>
      <c r="IE25" s="371"/>
      <c r="IF25" s="371"/>
      <c r="IG25" s="371"/>
      <c r="IH25" s="371"/>
      <c r="II25" s="371"/>
      <c r="IJ25" s="371"/>
      <c r="IK25" s="371"/>
      <c r="IL25" s="371"/>
      <c r="IM25" s="371"/>
      <c r="IN25" s="371"/>
      <c r="IO25" s="371"/>
      <c r="IP25" s="371"/>
      <c r="IQ25" s="371"/>
      <c r="IR25" s="371"/>
      <c r="IS25" s="371"/>
      <c r="IT25" s="371"/>
      <c r="IU25" s="371"/>
      <c r="IV25" s="371"/>
    </row>
    <row r="26" spans="1:256" s="407" customFormat="1" ht="31.5">
      <c r="A26" s="418"/>
      <c r="B26" s="418"/>
      <c r="C26" s="419">
        <v>4440</v>
      </c>
      <c r="D26" s="420" t="s">
        <v>718</v>
      </c>
      <c r="E26" s="421">
        <f t="shared" si="2"/>
        <v>99434.52729999999</v>
      </c>
      <c r="F26" s="422">
        <f t="shared" si="3"/>
        <v>99434.52729999999</v>
      </c>
      <c r="G26" s="422"/>
      <c r="H26" s="422"/>
      <c r="I26" s="241">
        <f>1000.04*12.375+2515.43*34.61</f>
        <v>99434.52729999999</v>
      </c>
      <c r="J26" s="425"/>
      <c r="K26" s="425"/>
      <c r="L26" s="422"/>
      <c r="GZ26" s="371"/>
      <c r="HA26" s="371"/>
      <c r="HB26" s="371"/>
      <c r="HC26" s="371"/>
      <c r="HD26" s="371"/>
      <c r="HE26" s="371"/>
      <c r="HF26" s="371"/>
      <c r="HG26" s="371"/>
      <c r="HH26" s="371"/>
      <c r="HI26" s="371"/>
      <c r="HJ26" s="371"/>
      <c r="HK26" s="371"/>
      <c r="HL26" s="371"/>
      <c r="HM26" s="371"/>
      <c r="HN26" s="371"/>
      <c r="HO26" s="371"/>
      <c r="HP26" s="371"/>
      <c r="HQ26" s="371"/>
      <c r="HR26" s="371"/>
      <c r="HS26" s="371"/>
      <c r="HT26" s="371"/>
      <c r="HU26" s="371"/>
      <c r="HV26" s="371"/>
      <c r="HW26" s="371"/>
      <c r="HX26" s="371"/>
      <c r="HY26" s="371"/>
      <c r="HZ26" s="371"/>
      <c r="IA26" s="371"/>
      <c r="IB26" s="371"/>
      <c r="IC26" s="371"/>
      <c r="ID26" s="371"/>
      <c r="IE26" s="371"/>
      <c r="IF26" s="371"/>
      <c r="IG26" s="371"/>
      <c r="IH26" s="371"/>
      <c r="II26" s="371"/>
      <c r="IJ26" s="371"/>
      <c r="IK26" s="371"/>
      <c r="IL26" s="371"/>
      <c r="IM26" s="371"/>
      <c r="IN26" s="371"/>
      <c r="IO26" s="371"/>
      <c r="IP26" s="371"/>
      <c r="IQ26" s="371"/>
      <c r="IR26" s="371"/>
      <c r="IS26" s="371"/>
      <c r="IT26" s="371"/>
      <c r="IU26" s="371"/>
      <c r="IV26" s="371"/>
    </row>
    <row r="27" spans="1:256" s="407" customFormat="1" ht="31.5">
      <c r="A27" s="418"/>
      <c r="B27" s="418"/>
      <c r="C27" s="419">
        <v>4700</v>
      </c>
      <c r="D27" s="420" t="s">
        <v>575</v>
      </c>
      <c r="E27" s="421">
        <f t="shared" si="2"/>
        <v>3400</v>
      </c>
      <c r="F27" s="422">
        <f t="shared" si="3"/>
        <v>3400</v>
      </c>
      <c r="G27" s="422"/>
      <c r="H27" s="422"/>
      <c r="I27" s="422">
        <v>3400</v>
      </c>
      <c r="J27" s="425"/>
      <c r="K27" s="425"/>
      <c r="L27" s="422"/>
      <c r="GZ27" s="371"/>
      <c r="HA27" s="371"/>
      <c r="HB27" s="371"/>
      <c r="HC27" s="371"/>
      <c r="HD27" s="371"/>
      <c r="HE27" s="371"/>
      <c r="HF27" s="371"/>
      <c r="HG27" s="371"/>
      <c r="HH27" s="371"/>
      <c r="HI27" s="371"/>
      <c r="HJ27" s="371"/>
      <c r="HK27" s="371"/>
      <c r="HL27" s="371"/>
      <c r="HM27" s="371"/>
      <c r="HN27" s="371"/>
      <c r="HO27" s="371"/>
      <c r="HP27" s="371"/>
      <c r="HQ27" s="371"/>
      <c r="HR27" s="371"/>
      <c r="HS27" s="371"/>
      <c r="HT27" s="371"/>
      <c r="HU27" s="371"/>
      <c r="HV27" s="371"/>
      <c r="HW27" s="371"/>
      <c r="HX27" s="371"/>
      <c r="HY27" s="371"/>
      <c r="HZ27" s="371"/>
      <c r="IA27" s="371"/>
      <c r="IB27" s="371"/>
      <c r="IC27" s="371"/>
      <c r="ID27" s="371"/>
      <c r="IE27" s="371"/>
      <c r="IF27" s="371"/>
      <c r="IG27" s="371"/>
      <c r="IH27" s="371"/>
      <c r="II27" s="371"/>
      <c r="IJ27" s="371"/>
      <c r="IK27" s="371"/>
      <c r="IL27" s="371"/>
      <c r="IM27" s="371"/>
      <c r="IN27" s="371"/>
      <c r="IO27" s="371"/>
      <c r="IP27" s="371"/>
      <c r="IQ27" s="371"/>
      <c r="IR27" s="371"/>
      <c r="IS27" s="371"/>
      <c r="IT27" s="371"/>
      <c r="IU27" s="371"/>
      <c r="IV27" s="371"/>
    </row>
    <row r="28" spans="1:256" s="407" customFormat="1" ht="31.5">
      <c r="A28" s="418"/>
      <c r="B28" s="418"/>
      <c r="C28" s="419">
        <v>4740</v>
      </c>
      <c r="D28" s="420" t="s">
        <v>558</v>
      </c>
      <c r="E28" s="421">
        <f t="shared" si="2"/>
        <v>2100</v>
      </c>
      <c r="F28" s="422">
        <f t="shared" si="3"/>
        <v>2100</v>
      </c>
      <c r="G28" s="422"/>
      <c r="H28" s="422"/>
      <c r="I28" s="422">
        <v>2100</v>
      </c>
      <c r="J28" s="425"/>
      <c r="K28" s="425"/>
      <c r="L28" s="422"/>
      <c r="GZ28" s="371"/>
      <c r="HA28" s="371"/>
      <c r="HB28" s="371"/>
      <c r="HC28" s="371"/>
      <c r="HD28" s="371"/>
      <c r="HE28" s="371"/>
      <c r="HF28" s="371"/>
      <c r="HG28" s="371"/>
      <c r="HH28" s="371"/>
      <c r="HI28" s="371"/>
      <c r="HJ28" s="371"/>
      <c r="HK28" s="371"/>
      <c r="HL28" s="371"/>
      <c r="HM28" s="371"/>
      <c r="HN28" s="371"/>
      <c r="HO28" s="371"/>
      <c r="HP28" s="371"/>
      <c r="HQ28" s="371"/>
      <c r="HR28" s="371"/>
      <c r="HS28" s="371"/>
      <c r="HT28" s="371"/>
      <c r="HU28" s="371"/>
      <c r="HV28" s="371"/>
      <c r="HW28" s="371"/>
      <c r="HX28" s="371"/>
      <c r="HY28" s="371"/>
      <c r="HZ28" s="371"/>
      <c r="IA28" s="371"/>
      <c r="IB28" s="371"/>
      <c r="IC28" s="371"/>
      <c r="ID28" s="371"/>
      <c r="IE28" s="371"/>
      <c r="IF28" s="371"/>
      <c r="IG28" s="371"/>
      <c r="IH28" s="371"/>
      <c r="II28" s="371"/>
      <c r="IJ28" s="371"/>
      <c r="IK28" s="371"/>
      <c r="IL28" s="371"/>
      <c r="IM28" s="371"/>
      <c r="IN28" s="371"/>
      <c r="IO28" s="371"/>
      <c r="IP28" s="371"/>
      <c r="IQ28" s="371"/>
      <c r="IR28" s="371"/>
      <c r="IS28" s="371"/>
      <c r="IT28" s="371"/>
      <c r="IU28" s="371"/>
      <c r="IV28" s="371"/>
    </row>
    <row r="29" spans="1:256" s="407" customFormat="1" ht="31.5">
      <c r="A29" s="418"/>
      <c r="B29" s="418"/>
      <c r="C29" s="419">
        <v>4750</v>
      </c>
      <c r="D29" s="420" t="s">
        <v>576</v>
      </c>
      <c r="E29" s="421">
        <f t="shared" si="2"/>
        <v>10000</v>
      </c>
      <c r="F29" s="422">
        <f t="shared" si="3"/>
        <v>10000</v>
      </c>
      <c r="G29" s="422"/>
      <c r="H29" s="422"/>
      <c r="I29" s="422">
        <v>10000</v>
      </c>
      <c r="J29" s="425"/>
      <c r="K29" s="425"/>
      <c r="L29" s="422"/>
      <c r="GZ29" s="371"/>
      <c r="HA29" s="371"/>
      <c r="HB29" s="371"/>
      <c r="HC29" s="371"/>
      <c r="HD29" s="371"/>
      <c r="HE29" s="371"/>
      <c r="HF29" s="371"/>
      <c r="HG29" s="371"/>
      <c r="HH29" s="371"/>
      <c r="HI29" s="371"/>
      <c r="HJ29" s="371"/>
      <c r="HK29" s="371"/>
      <c r="HL29" s="371"/>
      <c r="HM29" s="371"/>
      <c r="HN29" s="371"/>
      <c r="HO29" s="371"/>
      <c r="HP29" s="371"/>
      <c r="HQ29" s="371"/>
      <c r="HR29" s="371"/>
      <c r="HS29" s="371"/>
      <c r="HT29" s="371"/>
      <c r="HU29" s="371"/>
      <c r="HV29" s="371"/>
      <c r="HW29" s="371"/>
      <c r="HX29" s="371"/>
      <c r="HY29" s="371"/>
      <c r="HZ29" s="371"/>
      <c r="IA29" s="371"/>
      <c r="IB29" s="371"/>
      <c r="IC29" s="371"/>
      <c r="ID29" s="371"/>
      <c r="IE29" s="371"/>
      <c r="IF29" s="371"/>
      <c r="IG29" s="371"/>
      <c r="IH29" s="371"/>
      <c r="II29" s="371"/>
      <c r="IJ29" s="371"/>
      <c r="IK29" s="371"/>
      <c r="IL29" s="371"/>
      <c r="IM29" s="371"/>
      <c r="IN29" s="371"/>
      <c r="IO29" s="371"/>
      <c r="IP29" s="371"/>
      <c r="IQ29" s="371"/>
      <c r="IR29" s="371"/>
      <c r="IS29" s="371"/>
      <c r="IT29" s="371"/>
      <c r="IU29" s="371"/>
      <c r="IV29" s="371"/>
    </row>
    <row r="30" spans="1:256" s="407" customFormat="1" ht="15.75" customHeight="1">
      <c r="A30" s="778" t="s">
        <v>736</v>
      </c>
      <c r="B30" s="778"/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GZ30" s="371"/>
      <c r="HA30" s="371"/>
      <c r="HB30" s="371"/>
      <c r="HC30" s="371"/>
      <c r="HD30" s="371"/>
      <c r="HE30" s="371"/>
      <c r="HF30" s="371"/>
      <c r="HG30" s="371"/>
      <c r="HH30" s="371"/>
      <c r="HI30" s="371"/>
      <c r="HJ30" s="371"/>
      <c r="HK30" s="371"/>
      <c r="HL30" s="371"/>
      <c r="HM30" s="371"/>
      <c r="HN30" s="371"/>
      <c r="HO30" s="371"/>
      <c r="HP30" s="371"/>
      <c r="HQ30" s="371"/>
      <c r="HR30" s="371"/>
      <c r="HS30" s="371"/>
      <c r="HT30" s="371"/>
      <c r="HU30" s="371"/>
      <c r="HV30" s="371"/>
      <c r="HW30" s="371"/>
      <c r="HX30" s="371"/>
      <c r="HY30" s="371"/>
      <c r="HZ30" s="371"/>
      <c r="IA30" s="371"/>
      <c r="IB30" s="371"/>
      <c r="IC30" s="371"/>
      <c r="ID30" s="371"/>
      <c r="IE30" s="371"/>
      <c r="IF30" s="371"/>
      <c r="IG30" s="371"/>
      <c r="IH30" s="371"/>
      <c r="II30" s="371"/>
      <c r="IJ30" s="371"/>
      <c r="IK30" s="371"/>
      <c r="IL30" s="371"/>
      <c r="IM30" s="371"/>
      <c r="IN30" s="371"/>
      <c r="IO30" s="371"/>
      <c r="IP30" s="371"/>
      <c r="IQ30" s="371"/>
      <c r="IR30" s="371"/>
      <c r="IS30" s="371"/>
      <c r="IT30" s="371"/>
      <c r="IU30" s="371"/>
      <c r="IV30" s="371"/>
    </row>
    <row r="31" spans="1:256" s="407" customFormat="1" ht="15.75">
      <c r="A31" s="428"/>
      <c r="B31" s="416">
        <v>80146</v>
      </c>
      <c r="C31" s="416"/>
      <c r="D31" s="417" t="s">
        <v>584</v>
      </c>
      <c r="E31" s="273">
        <f aca="true" t="shared" si="4" ref="E31:L31">SUM(E32:E36)</f>
        <v>5533</v>
      </c>
      <c r="F31" s="273">
        <f t="shared" si="4"/>
        <v>5533</v>
      </c>
      <c r="G31" s="273">
        <f t="shared" si="4"/>
        <v>0</v>
      </c>
      <c r="H31" s="273">
        <f t="shared" si="4"/>
        <v>0</v>
      </c>
      <c r="I31" s="273">
        <f t="shared" si="4"/>
        <v>5533</v>
      </c>
      <c r="J31" s="273">
        <f t="shared" si="4"/>
        <v>0</v>
      </c>
      <c r="K31" s="273">
        <f t="shared" si="4"/>
        <v>0</v>
      </c>
      <c r="L31" s="273">
        <f t="shared" si="4"/>
        <v>0</v>
      </c>
      <c r="GZ31" s="371"/>
      <c r="HA31" s="371"/>
      <c r="HB31" s="371"/>
      <c r="HC31" s="371"/>
      <c r="HD31" s="371"/>
      <c r="HE31" s="371"/>
      <c r="HF31" s="371"/>
      <c r="HG31" s="371"/>
      <c r="HH31" s="371"/>
      <c r="HI31" s="371"/>
      <c r="HJ31" s="371"/>
      <c r="HK31" s="371"/>
      <c r="HL31" s="371"/>
      <c r="HM31" s="371"/>
      <c r="HN31" s="371"/>
      <c r="HO31" s="371"/>
      <c r="HP31" s="371"/>
      <c r="HQ31" s="371"/>
      <c r="HR31" s="371"/>
      <c r="HS31" s="371"/>
      <c r="HT31" s="371"/>
      <c r="HU31" s="371"/>
      <c r="HV31" s="371"/>
      <c r="HW31" s="371"/>
      <c r="HX31" s="371"/>
      <c r="HY31" s="371"/>
      <c r="HZ31" s="371"/>
      <c r="IA31" s="371"/>
      <c r="IB31" s="371"/>
      <c r="IC31" s="371"/>
      <c r="ID31" s="371"/>
      <c r="IE31" s="371"/>
      <c r="IF31" s="371"/>
      <c r="IG31" s="371"/>
      <c r="IH31" s="371"/>
      <c r="II31" s="371"/>
      <c r="IJ31" s="371"/>
      <c r="IK31" s="371"/>
      <c r="IL31" s="371"/>
      <c r="IM31" s="371"/>
      <c r="IN31" s="371"/>
      <c r="IO31" s="371"/>
      <c r="IP31" s="371"/>
      <c r="IQ31" s="371"/>
      <c r="IR31" s="371"/>
      <c r="IS31" s="371"/>
      <c r="IT31" s="371"/>
      <c r="IU31" s="371"/>
      <c r="IV31" s="371"/>
    </row>
    <row r="32" spans="1:256" s="407" customFormat="1" ht="15.75">
      <c r="A32" s="418"/>
      <c r="B32" s="418"/>
      <c r="C32" s="419">
        <v>4210</v>
      </c>
      <c r="D32" s="420" t="s">
        <v>555</v>
      </c>
      <c r="E32" s="421">
        <f>F32</f>
        <v>0</v>
      </c>
      <c r="F32" s="421">
        <f>I32</f>
        <v>0</v>
      </c>
      <c r="G32" s="422"/>
      <c r="H32" s="422"/>
      <c r="I32" s="421">
        <v>0</v>
      </c>
      <c r="J32" s="425"/>
      <c r="K32" s="425"/>
      <c r="L32" s="422"/>
      <c r="GZ32" s="371"/>
      <c r="HA32" s="371"/>
      <c r="HB32" s="371"/>
      <c r="HC32" s="371"/>
      <c r="HD32" s="371"/>
      <c r="HE32" s="371"/>
      <c r="HF32" s="371"/>
      <c r="HG32" s="371"/>
      <c r="HH32" s="371"/>
      <c r="HI32" s="371"/>
      <c r="HJ32" s="371"/>
      <c r="HK32" s="371"/>
      <c r="HL32" s="371"/>
      <c r="HM32" s="371"/>
      <c r="HN32" s="371"/>
      <c r="HO32" s="371"/>
      <c r="HP32" s="371"/>
      <c r="HQ32" s="371"/>
      <c r="HR32" s="371"/>
      <c r="HS32" s="371"/>
      <c r="HT32" s="371"/>
      <c r="HU32" s="371"/>
      <c r="HV32" s="371"/>
      <c r="HW32" s="371"/>
      <c r="HX32" s="371"/>
      <c r="HY32" s="371"/>
      <c r="HZ32" s="371"/>
      <c r="IA32" s="371"/>
      <c r="IB32" s="371"/>
      <c r="IC32" s="371"/>
      <c r="ID32" s="371"/>
      <c r="IE32" s="371"/>
      <c r="IF32" s="371"/>
      <c r="IG32" s="371"/>
      <c r="IH32" s="371"/>
      <c r="II32" s="371"/>
      <c r="IJ32" s="371"/>
      <c r="IK32" s="371"/>
      <c r="IL32" s="371"/>
      <c r="IM32" s="371"/>
      <c r="IN32" s="371"/>
      <c r="IO32" s="371"/>
      <c r="IP32" s="371"/>
      <c r="IQ32" s="371"/>
      <c r="IR32" s="371"/>
      <c r="IS32" s="371"/>
      <c r="IT32" s="371"/>
      <c r="IU32" s="371"/>
      <c r="IV32" s="371"/>
    </row>
    <row r="33" spans="1:256" s="407" customFormat="1" ht="31.5">
      <c r="A33" s="418"/>
      <c r="B33" s="418"/>
      <c r="C33" s="419">
        <v>4240</v>
      </c>
      <c r="D33" s="420" t="s">
        <v>556</v>
      </c>
      <c r="E33" s="421">
        <f>F33</f>
        <v>0</v>
      </c>
      <c r="F33" s="421">
        <f>I33</f>
        <v>0</v>
      </c>
      <c r="G33" s="422"/>
      <c r="H33" s="422"/>
      <c r="I33" s="421"/>
      <c r="J33" s="425"/>
      <c r="K33" s="425"/>
      <c r="L33" s="422"/>
      <c r="GZ33" s="371"/>
      <c r="HA33" s="371"/>
      <c r="HB33" s="371"/>
      <c r="HC33" s="371"/>
      <c r="HD33" s="371"/>
      <c r="HE33" s="371"/>
      <c r="HF33" s="371"/>
      <c r="HG33" s="371"/>
      <c r="HH33" s="371"/>
      <c r="HI33" s="371"/>
      <c r="HJ33" s="371"/>
      <c r="HK33" s="371"/>
      <c r="HL33" s="371"/>
      <c r="HM33" s="371"/>
      <c r="HN33" s="371"/>
      <c r="HO33" s="371"/>
      <c r="HP33" s="371"/>
      <c r="HQ33" s="371"/>
      <c r="HR33" s="371"/>
      <c r="HS33" s="371"/>
      <c r="HT33" s="371"/>
      <c r="HU33" s="371"/>
      <c r="HV33" s="371"/>
      <c r="HW33" s="371"/>
      <c r="HX33" s="371"/>
      <c r="HY33" s="371"/>
      <c r="HZ33" s="371"/>
      <c r="IA33" s="371"/>
      <c r="IB33" s="371"/>
      <c r="IC33" s="371"/>
      <c r="ID33" s="371"/>
      <c r="IE33" s="371"/>
      <c r="IF33" s="371"/>
      <c r="IG33" s="371"/>
      <c r="IH33" s="371"/>
      <c r="II33" s="371"/>
      <c r="IJ33" s="371"/>
      <c r="IK33" s="371"/>
      <c r="IL33" s="371"/>
      <c r="IM33" s="371"/>
      <c r="IN33" s="371"/>
      <c r="IO33" s="371"/>
      <c r="IP33" s="371"/>
      <c r="IQ33" s="371"/>
      <c r="IR33" s="371"/>
      <c r="IS33" s="371"/>
      <c r="IT33" s="371"/>
      <c r="IU33" s="371"/>
      <c r="IV33" s="371"/>
    </row>
    <row r="34" spans="1:256" s="407" customFormat="1" ht="15.75">
      <c r="A34" s="418"/>
      <c r="B34" s="418"/>
      <c r="C34" s="419">
        <v>4300</v>
      </c>
      <c r="D34" s="420" t="s">
        <v>569</v>
      </c>
      <c r="E34" s="421">
        <f>F34</f>
        <v>1620</v>
      </c>
      <c r="F34" s="421">
        <f>I34</f>
        <v>1620</v>
      </c>
      <c r="G34" s="426"/>
      <c r="H34" s="426"/>
      <c r="I34" s="421">
        <v>1620</v>
      </c>
      <c r="J34" s="427"/>
      <c r="K34" s="427"/>
      <c r="L34" s="426"/>
      <c r="GZ34" s="371"/>
      <c r="HA34" s="371"/>
      <c r="HB34" s="371"/>
      <c r="HC34" s="371"/>
      <c r="HD34" s="371"/>
      <c r="HE34" s="371"/>
      <c r="HF34" s="371"/>
      <c r="HG34" s="371"/>
      <c r="HH34" s="371"/>
      <c r="HI34" s="371"/>
      <c r="HJ34" s="371"/>
      <c r="HK34" s="371"/>
      <c r="HL34" s="371"/>
      <c r="HM34" s="371"/>
      <c r="HN34" s="371"/>
      <c r="HO34" s="371"/>
      <c r="HP34" s="371"/>
      <c r="HQ34" s="371"/>
      <c r="HR34" s="371"/>
      <c r="HS34" s="371"/>
      <c r="HT34" s="371"/>
      <c r="HU34" s="371"/>
      <c r="HV34" s="371"/>
      <c r="HW34" s="371"/>
      <c r="HX34" s="371"/>
      <c r="HY34" s="371"/>
      <c r="HZ34" s="371"/>
      <c r="IA34" s="371"/>
      <c r="IB34" s="371"/>
      <c r="IC34" s="371"/>
      <c r="ID34" s="371"/>
      <c r="IE34" s="371"/>
      <c r="IF34" s="371"/>
      <c r="IG34" s="371"/>
      <c r="IH34" s="371"/>
      <c r="II34" s="371"/>
      <c r="IJ34" s="371"/>
      <c r="IK34" s="371"/>
      <c r="IL34" s="371"/>
      <c r="IM34" s="371"/>
      <c r="IN34" s="371"/>
      <c r="IO34" s="371"/>
      <c r="IP34" s="371"/>
      <c r="IQ34" s="371"/>
      <c r="IR34" s="371"/>
      <c r="IS34" s="371"/>
      <c r="IT34" s="371"/>
      <c r="IU34" s="371"/>
      <c r="IV34" s="371"/>
    </row>
    <row r="35" spans="1:256" s="407" customFormat="1" ht="15.75">
      <c r="A35" s="418"/>
      <c r="B35" s="418"/>
      <c r="C35" s="419">
        <v>4410</v>
      </c>
      <c r="D35" s="420" t="s">
        <v>572</v>
      </c>
      <c r="E35" s="421">
        <f>F35</f>
        <v>1913</v>
      </c>
      <c r="F35" s="421">
        <f>I35</f>
        <v>1913</v>
      </c>
      <c r="G35" s="422"/>
      <c r="H35" s="422"/>
      <c r="I35" s="421">
        <v>1913</v>
      </c>
      <c r="J35" s="425"/>
      <c r="K35" s="425"/>
      <c r="L35" s="422"/>
      <c r="GZ35" s="371"/>
      <c r="HA35" s="371"/>
      <c r="HB35" s="371"/>
      <c r="HC35" s="371"/>
      <c r="HD35" s="371"/>
      <c r="HE35" s="371"/>
      <c r="HF35" s="371"/>
      <c r="HG35" s="371"/>
      <c r="HH35" s="371"/>
      <c r="HI35" s="371"/>
      <c r="HJ35" s="371"/>
      <c r="HK35" s="371"/>
      <c r="HL35" s="371"/>
      <c r="HM35" s="371"/>
      <c r="HN35" s="371"/>
      <c r="HO35" s="371"/>
      <c r="HP35" s="371"/>
      <c r="HQ35" s="371"/>
      <c r="HR35" s="371"/>
      <c r="HS35" s="371"/>
      <c r="HT35" s="371"/>
      <c r="HU35" s="371"/>
      <c r="HV35" s="371"/>
      <c r="HW35" s="371"/>
      <c r="HX35" s="371"/>
      <c r="HY35" s="371"/>
      <c r="HZ35" s="371"/>
      <c r="IA35" s="371"/>
      <c r="IB35" s="371"/>
      <c r="IC35" s="371"/>
      <c r="ID35" s="371"/>
      <c r="IE35" s="371"/>
      <c r="IF35" s="371"/>
      <c r="IG35" s="371"/>
      <c r="IH35" s="371"/>
      <c r="II35" s="371"/>
      <c r="IJ35" s="371"/>
      <c r="IK35" s="371"/>
      <c r="IL35" s="371"/>
      <c r="IM35" s="371"/>
      <c r="IN35" s="371"/>
      <c r="IO35" s="371"/>
      <c r="IP35" s="371"/>
      <c r="IQ35" s="371"/>
      <c r="IR35" s="371"/>
      <c r="IS35" s="371"/>
      <c r="IT35" s="371"/>
      <c r="IU35" s="371"/>
      <c r="IV35" s="371"/>
    </row>
    <row r="36" spans="1:256" s="407" customFormat="1" ht="31.5">
      <c r="A36" s="418"/>
      <c r="B36" s="418"/>
      <c r="C36" s="419">
        <v>4700</v>
      </c>
      <c r="D36" s="420" t="s">
        <v>575</v>
      </c>
      <c r="E36" s="421">
        <f>F36</f>
        <v>2000</v>
      </c>
      <c r="F36" s="421">
        <f>I36</f>
        <v>2000</v>
      </c>
      <c r="G36" s="422"/>
      <c r="H36" s="422"/>
      <c r="I36" s="421">
        <v>2000</v>
      </c>
      <c r="J36" s="425"/>
      <c r="K36" s="425"/>
      <c r="L36" s="422"/>
      <c r="GZ36" s="371"/>
      <c r="HA36" s="371"/>
      <c r="HB36" s="371"/>
      <c r="HC36" s="371"/>
      <c r="HD36" s="371"/>
      <c r="HE36" s="371"/>
      <c r="HF36" s="371"/>
      <c r="HG36" s="371"/>
      <c r="HH36" s="371"/>
      <c r="HI36" s="371"/>
      <c r="HJ36" s="371"/>
      <c r="HK36" s="371"/>
      <c r="HL36" s="371"/>
      <c r="HM36" s="371"/>
      <c r="HN36" s="371"/>
      <c r="HO36" s="371"/>
      <c r="HP36" s="371"/>
      <c r="HQ36" s="371"/>
      <c r="HR36" s="371"/>
      <c r="HS36" s="371"/>
      <c r="HT36" s="371"/>
      <c r="HU36" s="371"/>
      <c r="HV36" s="371"/>
      <c r="HW36" s="371"/>
      <c r="HX36" s="371"/>
      <c r="HY36" s="371"/>
      <c r="HZ36" s="371"/>
      <c r="IA36" s="371"/>
      <c r="IB36" s="371"/>
      <c r="IC36" s="371"/>
      <c r="ID36" s="371"/>
      <c r="IE36" s="371"/>
      <c r="IF36" s="371"/>
      <c r="IG36" s="371"/>
      <c r="IH36" s="371"/>
      <c r="II36" s="371"/>
      <c r="IJ36" s="371"/>
      <c r="IK36" s="371"/>
      <c r="IL36" s="371"/>
      <c r="IM36" s="371"/>
      <c r="IN36" s="371"/>
      <c r="IO36" s="371"/>
      <c r="IP36" s="371"/>
      <c r="IQ36" s="371"/>
      <c r="IR36" s="371"/>
      <c r="IS36" s="371"/>
      <c r="IT36" s="371"/>
      <c r="IU36" s="371"/>
      <c r="IV36" s="371"/>
    </row>
    <row r="37" spans="1:256" s="407" customFormat="1" ht="15.75">
      <c r="A37" s="417"/>
      <c r="B37" s="429">
        <v>80148</v>
      </c>
      <c r="C37" s="430"/>
      <c r="D37" s="431" t="s">
        <v>410</v>
      </c>
      <c r="E37" s="432">
        <f aca="true" t="shared" si="5" ref="E37:L37">SUM(E38:E52)</f>
        <v>243719.34279999998</v>
      </c>
      <c r="F37" s="432">
        <f t="shared" si="5"/>
        <v>243719.34279999998</v>
      </c>
      <c r="G37" s="432">
        <f t="shared" si="5"/>
        <v>90977</v>
      </c>
      <c r="H37" s="432">
        <f t="shared" si="5"/>
        <v>16048.3428</v>
      </c>
      <c r="I37" s="432">
        <f t="shared" si="5"/>
        <v>0</v>
      </c>
      <c r="J37" s="432">
        <f t="shared" si="5"/>
        <v>650</v>
      </c>
      <c r="K37" s="432">
        <f t="shared" si="5"/>
        <v>0</v>
      </c>
      <c r="L37" s="432">
        <f t="shared" si="5"/>
        <v>0</v>
      </c>
      <c r="GZ37" s="371"/>
      <c r="HA37" s="371"/>
      <c r="HB37" s="371"/>
      <c r="HC37" s="371"/>
      <c r="HD37" s="371"/>
      <c r="HE37" s="371"/>
      <c r="HF37" s="371"/>
      <c r="HG37" s="371"/>
      <c r="HH37" s="371"/>
      <c r="HI37" s="371"/>
      <c r="HJ37" s="371"/>
      <c r="HK37" s="371"/>
      <c r="HL37" s="371"/>
      <c r="HM37" s="371"/>
      <c r="HN37" s="371"/>
      <c r="HO37" s="371"/>
      <c r="HP37" s="371"/>
      <c r="HQ37" s="371"/>
      <c r="HR37" s="371"/>
      <c r="HS37" s="371"/>
      <c r="HT37" s="371"/>
      <c r="HU37" s="371"/>
      <c r="HV37" s="371"/>
      <c r="HW37" s="371"/>
      <c r="HX37" s="371"/>
      <c r="HY37" s="371"/>
      <c r="HZ37" s="371"/>
      <c r="IA37" s="371"/>
      <c r="IB37" s="371"/>
      <c r="IC37" s="371"/>
      <c r="ID37" s="371"/>
      <c r="IE37" s="371"/>
      <c r="IF37" s="371"/>
      <c r="IG37" s="371"/>
      <c r="IH37" s="371"/>
      <c r="II37" s="371"/>
      <c r="IJ37" s="371"/>
      <c r="IK37" s="371"/>
      <c r="IL37" s="371"/>
      <c r="IM37" s="371"/>
      <c r="IN37" s="371"/>
      <c r="IO37" s="371"/>
      <c r="IP37" s="371"/>
      <c r="IQ37" s="371"/>
      <c r="IR37" s="371"/>
      <c r="IS37" s="371"/>
      <c r="IT37" s="371"/>
      <c r="IU37" s="371"/>
      <c r="IV37" s="371"/>
    </row>
    <row r="38" spans="1:256" s="407" customFormat="1" ht="15.75">
      <c r="A38" s="418"/>
      <c r="B38" s="418"/>
      <c r="C38" s="419">
        <v>3020</v>
      </c>
      <c r="D38" s="420" t="s">
        <v>713</v>
      </c>
      <c r="E38" s="421">
        <f aca="true" t="shared" si="6" ref="E38:E52">F38</f>
        <v>650</v>
      </c>
      <c r="F38" s="422">
        <f>J38</f>
        <v>650</v>
      </c>
      <c r="G38" s="423"/>
      <c r="H38" s="423"/>
      <c r="I38" s="423"/>
      <c r="J38" s="422">
        <v>650</v>
      </c>
      <c r="K38" s="424"/>
      <c r="L38" s="423"/>
      <c r="GZ38" s="371"/>
      <c r="HA38" s="371"/>
      <c r="HB38" s="371"/>
      <c r="HC38" s="371"/>
      <c r="HD38" s="371"/>
      <c r="HE38" s="371"/>
      <c r="HF38" s="371"/>
      <c r="HG38" s="371"/>
      <c r="HH38" s="371"/>
      <c r="HI38" s="371"/>
      <c r="HJ38" s="371"/>
      <c r="HK38" s="371"/>
      <c r="HL38" s="371"/>
      <c r="HM38" s="371"/>
      <c r="HN38" s="371"/>
      <c r="HO38" s="371"/>
      <c r="HP38" s="371"/>
      <c r="HQ38" s="371"/>
      <c r="HR38" s="371"/>
      <c r="HS38" s="371"/>
      <c r="HT38" s="371"/>
      <c r="HU38" s="371"/>
      <c r="HV38" s="371"/>
      <c r="HW38" s="371"/>
      <c r="HX38" s="371"/>
      <c r="HY38" s="371"/>
      <c r="HZ38" s="371"/>
      <c r="IA38" s="371"/>
      <c r="IB38" s="371"/>
      <c r="IC38" s="371"/>
      <c r="ID38" s="371"/>
      <c r="IE38" s="371"/>
      <c r="IF38" s="371"/>
      <c r="IG38" s="371"/>
      <c r="IH38" s="371"/>
      <c r="II38" s="371"/>
      <c r="IJ38" s="371"/>
      <c r="IK38" s="371"/>
      <c r="IL38" s="371"/>
      <c r="IM38" s="371"/>
      <c r="IN38" s="371"/>
      <c r="IO38" s="371"/>
      <c r="IP38" s="371"/>
      <c r="IQ38" s="371"/>
      <c r="IR38" s="371"/>
      <c r="IS38" s="371"/>
      <c r="IT38" s="371"/>
      <c r="IU38" s="371"/>
      <c r="IV38" s="371"/>
    </row>
    <row r="39" spans="1:256" s="407" customFormat="1" ht="15.75">
      <c r="A39" s="418"/>
      <c r="B39" s="418"/>
      <c r="C39" s="419">
        <v>4010</v>
      </c>
      <c r="D39" s="420" t="s">
        <v>545</v>
      </c>
      <c r="E39" s="421">
        <f t="shared" si="6"/>
        <v>84352</v>
      </c>
      <c r="F39" s="422">
        <f>G39</f>
        <v>84352</v>
      </c>
      <c r="G39" s="422">
        <v>84352</v>
      </c>
      <c r="H39" s="422"/>
      <c r="I39" s="422"/>
      <c r="J39" s="425"/>
      <c r="K39" s="425"/>
      <c r="L39" s="422"/>
      <c r="GZ39" s="371"/>
      <c r="HA39" s="371"/>
      <c r="HB39" s="371"/>
      <c r="HC39" s="371"/>
      <c r="HD39" s="371"/>
      <c r="HE39" s="371"/>
      <c r="HF39" s="371"/>
      <c r="HG39" s="371"/>
      <c r="HH39" s="371"/>
      <c r="HI39" s="371"/>
      <c r="HJ39" s="371"/>
      <c r="HK39" s="371"/>
      <c r="HL39" s="371"/>
      <c r="HM39" s="371"/>
      <c r="HN39" s="371"/>
      <c r="HO39" s="371"/>
      <c r="HP39" s="371"/>
      <c r="HQ39" s="371"/>
      <c r="HR39" s="371"/>
      <c r="HS39" s="371"/>
      <c r="HT39" s="371"/>
      <c r="HU39" s="371"/>
      <c r="HV39" s="371"/>
      <c r="HW39" s="371"/>
      <c r="HX39" s="371"/>
      <c r="HY39" s="371"/>
      <c r="HZ39" s="371"/>
      <c r="IA39" s="371"/>
      <c r="IB39" s="371"/>
      <c r="IC39" s="371"/>
      <c r="ID39" s="371"/>
      <c r="IE39" s="371"/>
      <c r="IF39" s="371"/>
      <c r="IG39" s="371"/>
      <c r="IH39" s="371"/>
      <c r="II39" s="371"/>
      <c r="IJ39" s="371"/>
      <c r="IK39" s="371"/>
      <c r="IL39" s="371"/>
      <c r="IM39" s="371"/>
      <c r="IN39" s="371"/>
      <c r="IO39" s="371"/>
      <c r="IP39" s="371"/>
      <c r="IQ39" s="371"/>
      <c r="IR39" s="371"/>
      <c r="IS39" s="371"/>
      <c r="IT39" s="371"/>
      <c r="IU39" s="371"/>
      <c r="IV39" s="371"/>
    </row>
    <row r="40" spans="1:256" s="407" customFormat="1" ht="15.75">
      <c r="A40" s="418"/>
      <c r="B40" s="418"/>
      <c r="C40" s="419">
        <v>4040</v>
      </c>
      <c r="D40" s="420" t="s">
        <v>562</v>
      </c>
      <c r="E40" s="421">
        <f t="shared" si="6"/>
        <v>6625</v>
      </c>
      <c r="F40" s="422">
        <f>G40</f>
        <v>6625</v>
      </c>
      <c r="G40" s="422">
        <v>6625</v>
      </c>
      <c r="H40" s="422"/>
      <c r="I40" s="422"/>
      <c r="J40" s="425"/>
      <c r="K40" s="425"/>
      <c r="L40" s="422"/>
      <c r="GZ40" s="371"/>
      <c r="HA40" s="371"/>
      <c r="HB40" s="371"/>
      <c r="HC40" s="371"/>
      <c r="HD40" s="371"/>
      <c r="HE40" s="371"/>
      <c r="HF40" s="371"/>
      <c r="HG40" s="371"/>
      <c r="HH40" s="371"/>
      <c r="HI40" s="371"/>
      <c r="HJ40" s="371"/>
      <c r="HK40" s="371"/>
      <c r="HL40" s="371"/>
      <c r="HM40" s="371"/>
      <c r="HN40" s="371"/>
      <c r="HO40" s="371"/>
      <c r="HP40" s="371"/>
      <c r="HQ40" s="371"/>
      <c r="HR40" s="371"/>
      <c r="HS40" s="371"/>
      <c r="HT40" s="371"/>
      <c r="HU40" s="371"/>
      <c r="HV40" s="371"/>
      <c r="HW40" s="371"/>
      <c r="HX40" s="371"/>
      <c r="HY40" s="371"/>
      <c r="HZ40" s="371"/>
      <c r="IA40" s="371"/>
      <c r="IB40" s="371"/>
      <c r="IC40" s="371"/>
      <c r="ID40" s="371"/>
      <c r="IE40" s="371"/>
      <c r="IF40" s="371"/>
      <c r="IG40" s="371"/>
      <c r="IH40" s="371"/>
      <c r="II40" s="371"/>
      <c r="IJ40" s="371"/>
      <c r="IK40" s="371"/>
      <c r="IL40" s="371"/>
      <c r="IM40" s="371"/>
      <c r="IN40" s="371"/>
      <c r="IO40" s="371"/>
      <c r="IP40" s="371"/>
      <c r="IQ40" s="371"/>
      <c r="IR40" s="371"/>
      <c r="IS40" s="371"/>
      <c r="IT40" s="371"/>
      <c r="IU40" s="371"/>
      <c r="IV40" s="371"/>
    </row>
    <row r="41" spans="1:256" s="407" customFormat="1" ht="15.75">
      <c r="A41" s="418"/>
      <c r="B41" s="418"/>
      <c r="C41" s="419">
        <v>4110</v>
      </c>
      <c r="D41" s="420" t="s">
        <v>563</v>
      </c>
      <c r="E41" s="421">
        <f t="shared" si="6"/>
        <v>13819.4063</v>
      </c>
      <c r="F41" s="422">
        <f>H41</f>
        <v>13819.4063</v>
      </c>
      <c r="G41" s="422"/>
      <c r="H41" s="70">
        <f>(G39+G40)*0.1519</f>
        <v>13819.4063</v>
      </c>
      <c r="I41" s="422"/>
      <c r="J41" s="425"/>
      <c r="K41" s="425"/>
      <c r="L41" s="422"/>
      <c r="GZ41" s="371"/>
      <c r="HA41" s="371"/>
      <c r="HB41" s="371"/>
      <c r="HC41" s="371"/>
      <c r="HD41" s="371"/>
      <c r="HE41" s="371"/>
      <c r="HF41" s="371"/>
      <c r="HG41" s="371"/>
      <c r="HH41" s="371"/>
      <c r="HI41" s="371"/>
      <c r="HJ41" s="371"/>
      <c r="HK41" s="371"/>
      <c r="HL41" s="371"/>
      <c r="HM41" s="371"/>
      <c r="HN41" s="371"/>
      <c r="HO41" s="371"/>
      <c r="HP41" s="371"/>
      <c r="HQ41" s="371"/>
      <c r="HR41" s="371"/>
      <c r="HS41" s="371"/>
      <c r="HT41" s="371"/>
      <c r="HU41" s="371"/>
      <c r="HV41" s="371"/>
      <c r="HW41" s="371"/>
      <c r="HX41" s="371"/>
      <c r="HY41" s="371"/>
      <c r="HZ41" s="371"/>
      <c r="IA41" s="371"/>
      <c r="IB41" s="371"/>
      <c r="IC41" s="371"/>
      <c r="ID41" s="371"/>
      <c r="IE41" s="371"/>
      <c r="IF41" s="371"/>
      <c r="IG41" s="371"/>
      <c r="IH41" s="371"/>
      <c r="II41" s="371"/>
      <c r="IJ41" s="371"/>
      <c r="IK41" s="371"/>
      <c r="IL41" s="371"/>
      <c r="IM41" s="371"/>
      <c r="IN41" s="371"/>
      <c r="IO41" s="371"/>
      <c r="IP41" s="371"/>
      <c r="IQ41" s="371"/>
      <c r="IR41" s="371"/>
      <c r="IS41" s="371"/>
      <c r="IT41" s="371"/>
      <c r="IU41" s="371"/>
      <c r="IV41" s="371"/>
    </row>
    <row r="42" spans="1:256" s="407" customFormat="1" ht="15.75">
      <c r="A42" s="418"/>
      <c r="B42" s="418"/>
      <c r="C42" s="419">
        <v>4120</v>
      </c>
      <c r="D42" s="420" t="s">
        <v>564</v>
      </c>
      <c r="E42" s="421">
        <f t="shared" si="6"/>
        <v>2228.9365000000003</v>
      </c>
      <c r="F42" s="422">
        <f>H42</f>
        <v>2228.9365000000003</v>
      </c>
      <c r="G42" s="422"/>
      <c r="H42" s="70">
        <f>(G40+G39)*0.0245</f>
        <v>2228.9365000000003</v>
      </c>
      <c r="I42" s="422"/>
      <c r="J42" s="425"/>
      <c r="K42" s="425"/>
      <c r="L42" s="422"/>
      <c r="GZ42" s="371"/>
      <c r="HA42" s="371"/>
      <c r="HB42" s="371"/>
      <c r="HC42" s="371"/>
      <c r="HD42" s="371"/>
      <c r="HE42" s="371"/>
      <c r="HF42" s="371"/>
      <c r="HG42" s="371"/>
      <c r="HH42" s="371"/>
      <c r="HI42" s="371"/>
      <c r="HJ42" s="371"/>
      <c r="HK42" s="371"/>
      <c r="HL42" s="371"/>
      <c r="HM42" s="371"/>
      <c r="HN42" s="371"/>
      <c r="HO42" s="371"/>
      <c r="HP42" s="371"/>
      <c r="HQ42" s="371"/>
      <c r="HR42" s="371"/>
      <c r="HS42" s="371"/>
      <c r="HT42" s="371"/>
      <c r="HU42" s="371"/>
      <c r="HV42" s="371"/>
      <c r="HW42" s="371"/>
      <c r="HX42" s="371"/>
      <c r="HY42" s="371"/>
      <c r="HZ42" s="371"/>
      <c r="IA42" s="371"/>
      <c r="IB42" s="371"/>
      <c r="IC42" s="371"/>
      <c r="ID42" s="371"/>
      <c r="IE42" s="371"/>
      <c r="IF42" s="371"/>
      <c r="IG42" s="371"/>
      <c r="IH42" s="371"/>
      <c r="II42" s="371"/>
      <c r="IJ42" s="371"/>
      <c r="IK42" s="371"/>
      <c r="IL42" s="371"/>
      <c r="IM42" s="371"/>
      <c r="IN42" s="371"/>
      <c r="IO42" s="371"/>
      <c r="IP42" s="371"/>
      <c r="IQ42" s="371"/>
      <c r="IR42" s="371"/>
      <c r="IS42" s="371"/>
      <c r="IT42" s="371"/>
      <c r="IU42" s="371"/>
      <c r="IV42" s="371"/>
    </row>
    <row r="43" spans="1:256" s="407" customFormat="1" ht="15.75">
      <c r="A43" s="418"/>
      <c r="B43" s="418"/>
      <c r="C43" s="419">
        <v>4210</v>
      </c>
      <c r="D43" s="420" t="s">
        <v>555</v>
      </c>
      <c r="E43" s="421">
        <f t="shared" si="6"/>
        <v>7850</v>
      </c>
      <c r="F43" s="422">
        <v>7850</v>
      </c>
      <c r="G43" s="422"/>
      <c r="H43" s="422"/>
      <c r="I43" s="422"/>
      <c r="J43" s="425"/>
      <c r="K43" s="425"/>
      <c r="L43" s="422"/>
      <c r="GZ43" s="371"/>
      <c r="HA43" s="371"/>
      <c r="HB43" s="371"/>
      <c r="HC43" s="371"/>
      <c r="HD43" s="371"/>
      <c r="HE43" s="371"/>
      <c r="HF43" s="371"/>
      <c r="HG43" s="371"/>
      <c r="HH43" s="371"/>
      <c r="HI43" s="371"/>
      <c r="HJ43" s="371"/>
      <c r="HK43" s="371"/>
      <c r="HL43" s="371"/>
      <c r="HM43" s="371"/>
      <c r="HN43" s="371"/>
      <c r="HO43" s="371"/>
      <c r="HP43" s="371"/>
      <c r="HQ43" s="371"/>
      <c r="HR43" s="371"/>
      <c r="HS43" s="371"/>
      <c r="HT43" s="371"/>
      <c r="HU43" s="371"/>
      <c r="HV43" s="371"/>
      <c r="HW43" s="371"/>
      <c r="HX43" s="371"/>
      <c r="HY43" s="371"/>
      <c r="HZ43" s="371"/>
      <c r="IA43" s="371"/>
      <c r="IB43" s="371"/>
      <c r="IC43" s="371"/>
      <c r="ID43" s="371"/>
      <c r="IE43" s="371"/>
      <c r="IF43" s="371"/>
      <c r="IG43" s="371"/>
      <c r="IH43" s="371"/>
      <c r="II43" s="371"/>
      <c r="IJ43" s="371"/>
      <c r="IK43" s="371"/>
      <c r="IL43" s="371"/>
      <c r="IM43" s="371"/>
      <c r="IN43" s="371"/>
      <c r="IO43" s="371"/>
      <c r="IP43" s="371"/>
      <c r="IQ43" s="371"/>
      <c r="IR43" s="371"/>
      <c r="IS43" s="371"/>
      <c r="IT43" s="371"/>
      <c r="IU43" s="371"/>
      <c r="IV43" s="371"/>
    </row>
    <row r="44" spans="1:256" s="407" customFormat="1" ht="15.75">
      <c r="A44" s="418"/>
      <c r="B44" s="418"/>
      <c r="C44" s="419">
        <v>4220</v>
      </c>
      <c r="D44" s="420" t="s">
        <v>566</v>
      </c>
      <c r="E44" s="421">
        <f t="shared" si="6"/>
        <v>120744</v>
      </c>
      <c r="F44" s="422">
        <v>120744</v>
      </c>
      <c r="G44" s="422"/>
      <c r="H44" s="422"/>
      <c r="I44" s="422"/>
      <c r="J44" s="425"/>
      <c r="K44" s="425"/>
      <c r="L44" s="422"/>
      <c r="GZ44" s="371"/>
      <c r="HA44" s="371"/>
      <c r="HB44" s="371"/>
      <c r="HC44" s="371"/>
      <c r="HD44" s="371"/>
      <c r="HE44" s="371"/>
      <c r="HF44" s="371"/>
      <c r="HG44" s="371"/>
      <c r="HH44" s="371"/>
      <c r="HI44" s="371"/>
      <c r="HJ44" s="371"/>
      <c r="HK44" s="371"/>
      <c r="HL44" s="371"/>
      <c r="HM44" s="371"/>
      <c r="HN44" s="371"/>
      <c r="HO44" s="371"/>
      <c r="HP44" s="371"/>
      <c r="HQ44" s="371"/>
      <c r="HR44" s="371"/>
      <c r="HS44" s="371"/>
      <c r="HT44" s="371"/>
      <c r="HU44" s="371"/>
      <c r="HV44" s="371"/>
      <c r="HW44" s="371"/>
      <c r="HX44" s="371"/>
      <c r="HY44" s="371"/>
      <c r="HZ44" s="371"/>
      <c r="IA44" s="371"/>
      <c r="IB44" s="371"/>
      <c r="IC44" s="371"/>
      <c r="ID44" s="371"/>
      <c r="IE44" s="371"/>
      <c r="IF44" s="371"/>
      <c r="IG44" s="371"/>
      <c r="IH44" s="371"/>
      <c r="II44" s="371"/>
      <c r="IJ44" s="371"/>
      <c r="IK44" s="371"/>
      <c r="IL44" s="371"/>
      <c r="IM44" s="371"/>
      <c r="IN44" s="371"/>
      <c r="IO44" s="371"/>
      <c r="IP44" s="371"/>
      <c r="IQ44" s="371"/>
      <c r="IR44" s="371"/>
      <c r="IS44" s="371"/>
      <c r="IT44" s="371"/>
      <c r="IU44" s="371"/>
      <c r="IV44" s="371"/>
    </row>
    <row r="45" spans="1:256" s="407" customFormat="1" ht="15.75">
      <c r="A45" s="418"/>
      <c r="B45" s="418"/>
      <c r="C45" s="419">
        <v>4270</v>
      </c>
      <c r="D45" s="420" t="s">
        <v>507</v>
      </c>
      <c r="E45" s="421">
        <f t="shared" si="6"/>
        <v>3000</v>
      </c>
      <c r="F45" s="422">
        <v>3000</v>
      </c>
      <c r="G45" s="426"/>
      <c r="H45" s="426"/>
      <c r="I45" s="426"/>
      <c r="J45" s="427"/>
      <c r="K45" s="427"/>
      <c r="L45" s="426"/>
      <c r="GZ45" s="371"/>
      <c r="HA45" s="371"/>
      <c r="HB45" s="371"/>
      <c r="HC45" s="371"/>
      <c r="HD45" s="371"/>
      <c r="HE45" s="371"/>
      <c r="HF45" s="371"/>
      <c r="HG45" s="371"/>
      <c r="HH45" s="371"/>
      <c r="HI45" s="371"/>
      <c r="HJ45" s="371"/>
      <c r="HK45" s="371"/>
      <c r="HL45" s="371"/>
      <c r="HM45" s="371"/>
      <c r="HN45" s="371"/>
      <c r="HO45" s="371"/>
      <c r="HP45" s="371"/>
      <c r="HQ45" s="371"/>
      <c r="HR45" s="371"/>
      <c r="HS45" s="371"/>
      <c r="HT45" s="371"/>
      <c r="HU45" s="371"/>
      <c r="HV45" s="371"/>
      <c r="HW45" s="371"/>
      <c r="HX45" s="371"/>
      <c r="HY45" s="371"/>
      <c r="HZ45" s="371"/>
      <c r="IA45" s="371"/>
      <c r="IB45" s="371"/>
      <c r="IC45" s="371"/>
      <c r="ID45" s="371"/>
      <c r="IE45" s="371"/>
      <c r="IF45" s="371"/>
      <c r="IG45" s="371"/>
      <c r="IH45" s="371"/>
      <c r="II45" s="371"/>
      <c r="IJ45" s="371"/>
      <c r="IK45" s="371"/>
      <c r="IL45" s="371"/>
      <c r="IM45" s="371"/>
      <c r="IN45" s="371"/>
      <c r="IO45" s="371"/>
      <c r="IP45" s="371"/>
      <c r="IQ45" s="371"/>
      <c r="IR45" s="371"/>
      <c r="IS45" s="371"/>
      <c r="IT45" s="371"/>
      <c r="IU45" s="371"/>
      <c r="IV45" s="371"/>
    </row>
    <row r="46" spans="1:256" s="407" customFormat="1" ht="15.75">
      <c r="A46" s="418"/>
      <c r="B46" s="418"/>
      <c r="C46" s="419">
        <v>4280</v>
      </c>
      <c r="D46" s="420" t="s">
        <v>568</v>
      </c>
      <c r="E46" s="421">
        <f t="shared" si="6"/>
        <v>200</v>
      </c>
      <c r="F46" s="422">
        <v>200</v>
      </c>
      <c r="G46" s="422"/>
      <c r="H46" s="422"/>
      <c r="I46" s="422"/>
      <c r="J46" s="425"/>
      <c r="K46" s="425"/>
      <c r="L46" s="422"/>
      <c r="GZ46" s="371"/>
      <c r="HA46" s="371"/>
      <c r="HB46" s="371"/>
      <c r="HC46" s="371"/>
      <c r="HD46" s="371"/>
      <c r="HE46" s="371"/>
      <c r="HF46" s="371"/>
      <c r="HG46" s="371"/>
      <c r="HH46" s="371"/>
      <c r="HI46" s="371"/>
      <c r="HJ46" s="371"/>
      <c r="HK46" s="371"/>
      <c r="HL46" s="371"/>
      <c r="HM46" s="371"/>
      <c r="HN46" s="371"/>
      <c r="HO46" s="371"/>
      <c r="HP46" s="371"/>
      <c r="HQ46" s="371"/>
      <c r="HR46" s="371"/>
      <c r="HS46" s="371"/>
      <c r="HT46" s="371"/>
      <c r="HU46" s="371"/>
      <c r="HV46" s="371"/>
      <c r="HW46" s="371"/>
      <c r="HX46" s="371"/>
      <c r="HY46" s="371"/>
      <c r="HZ46" s="371"/>
      <c r="IA46" s="371"/>
      <c r="IB46" s="371"/>
      <c r="IC46" s="371"/>
      <c r="ID46" s="371"/>
      <c r="IE46" s="371"/>
      <c r="IF46" s="371"/>
      <c r="IG46" s="371"/>
      <c r="IH46" s="371"/>
      <c r="II46" s="371"/>
      <c r="IJ46" s="371"/>
      <c r="IK46" s="371"/>
      <c r="IL46" s="371"/>
      <c r="IM46" s="371"/>
      <c r="IN46" s="371"/>
      <c r="IO46" s="371"/>
      <c r="IP46" s="371"/>
      <c r="IQ46" s="371"/>
      <c r="IR46" s="371"/>
      <c r="IS46" s="371"/>
      <c r="IT46" s="371"/>
      <c r="IU46" s="371"/>
      <c r="IV46" s="371"/>
    </row>
    <row r="47" spans="1:256" s="407" customFormat="1" ht="15.75">
      <c r="A47" s="418"/>
      <c r="B47" s="418"/>
      <c r="C47" s="419">
        <v>4300</v>
      </c>
      <c r="D47" s="420" t="s">
        <v>569</v>
      </c>
      <c r="E47" s="421">
        <f t="shared" si="6"/>
        <v>600</v>
      </c>
      <c r="F47" s="422">
        <v>600</v>
      </c>
      <c r="G47" s="426"/>
      <c r="H47" s="426"/>
      <c r="I47" s="426"/>
      <c r="J47" s="427"/>
      <c r="K47" s="427"/>
      <c r="L47" s="426"/>
      <c r="GZ47" s="371"/>
      <c r="HA47" s="371"/>
      <c r="HB47" s="371"/>
      <c r="HC47" s="371"/>
      <c r="HD47" s="371"/>
      <c r="HE47" s="371"/>
      <c r="HF47" s="371"/>
      <c r="HG47" s="371"/>
      <c r="HH47" s="371"/>
      <c r="HI47" s="371"/>
      <c r="HJ47" s="371"/>
      <c r="HK47" s="371"/>
      <c r="HL47" s="371"/>
      <c r="HM47" s="371"/>
      <c r="HN47" s="371"/>
      <c r="HO47" s="371"/>
      <c r="HP47" s="371"/>
      <c r="HQ47" s="371"/>
      <c r="HR47" s="371"/>
      <c r="HS47" s="371"/>
      <c r="HT47" s="371"/>
      <c r="HU47" s="371"/>
      <c r="HV47" s="371"/>
      <c r="HW47" s="371"/>
      <c r="HX47" s="371"/>
      <c r="HY47" s="371"/>
      <c r="HZ47" s="371"/>
      <c r="IA47" s="371"/>
      <c r="IB47" s="371"/>
      <c r="IC47" s="371"/>
      <c r="ID47" s="371"/>
      <c r="IE47" s="371"/>
      <c r="IF47" s="371"/>
      <c r="IG47" s="371"/>
      <c r="IH47" s="371"/>
      <c r="II47" s="371"/>
      <c r="IJ47" s="371"/>
      <c r="IK47" s="371"/>
      <c r="IL47" s="371"/>
      <c r="IM47" s="371"/>
      <c r="IN47" s="371"/>
      <c r="IO47" s="371"/>
      <c r="IP47" s="371"/>
      <c r="IQ47" s="371"/>
      <c r="IR47" s="371"/>
      <c r="IS47" s="371"/>
      <c r="IT47" s="371"/>
      <c r="IU47" s="371"/>
      <c r="IV47" s="371"/>
    </row>
    <row r="48" spans="1:256" s="407" customFormat="1" ht="31.5">
      <c r="A48" s="418"/>
      <c r="B48" s="418"/>
      <c r="C48" s="419">
        <v>4440</v>
      </c>
      <c r="D48" s="420" t="s">
        <v>718</v>
      </c>
      <c r="E48" s="421">
        <f t="shared" si="6"/>
        <v>3000</v>
      </c>
      <c r="F48" s="422">
        <v>3000</v>
      </c>
      <c r="G48" s="422"/>
      <c r="H48" s="422"/>
      <c r="I48" s="422"/>
      <c r="J48" s="425"/>
      <c r="K48" s="425"/>
      <c r="L48" s="422"/>
      <c r="GZ48" s="371"/>
      <c r="HA48" s="371"/>
      <c r="HB48" s="371"/>
      <c r="HC48" s="371"/>
      <c r="HD48" s="371"/>
      <c r="HE48" s="371"/>
      <c r="HF48" s="371"/>
      <c r="HG48" s="371"/>
      <c r="HH48" s="371"/>
      <c r="HI48" s="371"/>
      <c r="HJ48" s="371"/>
      <c r="HK48" s="371"/>
      <c r="HL48" s="371"/>
      <c r="HM48" s="371"/>
      <c r="HN48" s="371"/>
      <c r="HO48" s="371"/>
      <c r="HP48" s="371"/>
      <c r="HQ48" s="371"/>
      <c r="HR48" s="371"/>
      <c r="HS48" s="371"/>
      <c r="HT48" s="371"/>
      <c r="HU48" s="371"/>
      <c r="HV48" s="371"/>
      <c r="HW48" s="371"/>
      <c r="HX48" s="371"/>
      <c r="HY48" s="371"/>
      <c r="HZ48" s="371"/>
      <c r="IA48" s="371"/>
      <c r="IB48" s="371"/>
      <c r="IC48" s="371"/>
      <c r="ID48" s="371"/>
      <c r="IE48" s="371"/>
      <c r="IF48" s="371"/>
      <c r="IG48" s="371"/>
      <c r="IH48" s="371"/>
      <c r="II48" s="371"/>
      <c r="IJ48" s="371"/>
      <c r="IK48" s="371"/>
      <c r="IL48" s="371"/>
      <c r="IM48" s="371"/>
      <c r="IN48" s="371"/>
      <c r="IO48" s="371"/>
      <c r="IP48" s="371"/>
      <c r="IQ48" s="371"/>
      <c r="IR48" s="371"/>
      <c r="IS48" s="371"/>
      <c r="IT48" s="371"/>
      <c r="IU48" s="371"/>
      <c r="IV48" s="371"/>
    </row>
    <row r="49" spans="1:256" s="407" customFormat="1" ht="31.5">
      <c r="A49" s="418"/>
      <c r="B49" s="418"/>
      <c r="C49" s="180">
        <v>4700</v>
      </c>
      <c r="D49" s="181" t="s">
        <v>575</v>
      </c>
      <c r="E49" s="96">
        <f t="shared" si="6"/>
        <v>0</v>
      </c>
      <c r="F49" s="96">
        <v>0</v>
      </c>
      <c r="G49" s="422"/>
      <c r="H49" s="422"/>
      <c r="I49" s="422"/>
      <c r="J49" s="425"/>
      <c r="K49" s="425"/>
      <c r="L49" s="422"/>
      <c r="GZ49" s="371"/>
      <c r="HA49" s="371"/>
      <c r="HB49" s="371"/>
      <c r="HC49" s="371"/>
      <c r="HD49" s="371"/>
      <c r="HE49" s="371"/>
      <c r="HF49" s="371"/>
      <c r="HG49" s="371"/>
      <c r="HH49" s="371"/>
      <c r="HI49" s="371"/>
      <c r="HJ49" s="371"/>
      <c r="HK49" s="371"/>
      <c r="HL49" s="371"/>
      <c r="HM49" s="371"/>
      <c r="HN49" s="371"/>
      <c r="HO49" s="371"/>
      <c r="HP49" s="371"/>
      <c r="HQ49" s="371"/>
      <c r="HR49" s="371"/>
      <c r="HS49" s="371"/>
      <c r="HT49" s="371"/>
      <c r="HU49" s="371"/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  <c r="IK49" s="371"/>
      <c r="IL49" s="371"/>
      <c r="IM49" s="371"/>
      <c r="IN49" s="371"/>
      <c r="IO49" s="371"/>
      <c r="IP49" s="371"/>
      <c r="IQ49" s="371"/>
      <c r="IR49" s="371"/>
      <c r="IS49" s="371"/>
      <c r="IT49" s="371"/>
      <c r="IU49" s="371"/>
      <c r="IV49" s="371"/>
    </row>
    <row r="50" spans="1:256" s="407" customFormat="1" ht="31.5">
      <c r="A50" s="418"/>
      <c r="B50" s="418"/>
      <c r="C50" s="419">
        <v>4740</v>
      </c>
      <c r="D50" s="420" t="s">
        <v>558</v>
      </c>
      <c r="E50" s="421">
        <f t="shared" si="6"/>
        <v>150</v>
      </c>
      <c r="F50" s="422">
        <v>150</v>
      </c>
      <c r="G50" s="422"/>
      <c r="H50" s="422"/>
      <c r="I50" s="422"/>
      <c r="J50" s="425"/>
      <c r="K50" s="425"/>
      <c r="L50" s="422"/>
      <c r="GZ50" s="371"/>
      <c r="HA50" s="371"/>
      <c r="HB50" s="371"/>
      <c r="HC50" s="371"/>
      <c r="HD50" s="371"/>
      <c r="HE50" s="371"/>
      <c r="HF50" s="371"/>
      <c r="HG50" s="371"/>
      <c r="HH50" s="371"/>
      <c r="HI50" s="371"/>
      <c r="HJ50" s="371"/>
      <c r="HK50" s="371"/>
      <c r="HL50" s="371"/>
      <c r="HM50" s="371"/>
      <c r="HN50" s="371"/>
      <c r="HO50" s="371"/>
      <c r="HP50" s="371"/>
      <c r="HQ50" s="371"/>
      <c r="HR50" s="371"/>
      <c r="HS50" s="371"/>
      <c r="HT50" s="371"/>
      <c r="HU50" s="371"/>
      <c r="HV50" s="371"/>
      <c r="HW50" s="371"/>
      <c r="HX50" s="371"/>
      <c r="HY50" s="371"/>
      <c r="HZ50" s="371"/>
      <c r="IA50" s="371"/>
      <c r="IB50" s="371"/>
      <c r="IC50" s="371"/>
      <c r="ID50" s="371"/>
      <c r="IE50" s="371"/>
      <c r="IF50" s="371"/>
      <c r="IG50" s="371"/>
      <c r="IH50" s="371"/>
      <c r="II50" s="371"/>
      <c r="IJ50" s="371"/>
      <c r="IK50" s="371"/>
      <c r="IL50" s="371"/>
      <c r="IM50" s="371"/>
      <c r="IN50" s="371"/>
      <c r="IO50" s="371"/>
      <c r="IP50" s="371"/>
      <c r="IQ50" s="371"/>
      <c r="IR50" s="371"/>
      <c r="IS50" s="371"/>
      <c r="IT50" s="371"/>
      <c r="IU50" s="371"/>
      <c r="IV50" s="371"/>
    </row>
    <row r="51" spans="1:256" s="407" customFormat="1" ht="31.5">
      <c r="A51" s="418"/>
      <c r="B51" s="418"/>
      <c r="C51" s="419">
        <v>4750</v>
      </c>
      <c r="D51" s="420" t="s">
        <v>576</v>
      </c>
      <c r="E51" s="421">
        <f t="shared" si="6"/>
        <v>500</v>
      </c>
      <c r="F51" s="422">
        <v>500</v>
      </c>
      <c r="G51" s="422"/>
      <c r="H51" s="422"/>
      <c r="I51" s="422"/>
      <c r="J51" s="425"/>
      <c r="K51" s="425"/>
      <c r="L51" s="422"/>
      <c r="GZ51" s="371"/>
      <c r="HA51" s="371"/>
      <c r="HB51" s="371"/>
      <c r="HC51" s="371"/>
      <c r="HD51" s="371"/>
      <c r="HE51" s="371"/>
      <c r="HF51" s="371"/>
      <c r="HG51" s="371"/>
      <c r="HH51" s="371"/>
      <c r="HI51" s="371"/>
      <c r="HJ51" s="371"/>
      <c r="HK51" s="371"/>
      <c r="HL51" s="371"/>
      <c r="HM51" s="371"/>
      <c r="HN51" s="371"/>
      <c r="HO51" s="371"/>
      <c r="HP51" s="371"/>
      <c r="HQ51" s="371"/>
      <c r="HR51" s="371"/>
      <c r="HS51" s="371"/>
      <c r="HT51" s="371"/>
      <c r="HU51" s="371"/>
      <c r="HV51" s="371"/>
      <c r="HW51" s="371"/>
      <c r="HX51" s="371"/>
      <c r="HY51" s="371"/>
      <c r="HZ51" s="371"/>
      <c r="IA51" s="371"/>
      <c r="IB51" s="371"/>
      <c r="IC51" s="371"/>
      <c r="ID51" s="371"/>
      <c r="IE51" s="371"/>
      <c r="IF51" s="371"/>
      <c r="IG51" s="371"/>
      <c r="IH51" s="371"/>
      <c r="II51" s="371"/>
      <c r="IJ51" s="371"/>
      <c r="IK51" s="371"/>
      <c r="IL51" s="371"/>
      <c r="IM51" s="371"/>
      <c r="IN51" s="371"/>
      <c r="IO51" s="371"/>
      <c r="IP51" s="371"/>
      <c r="IQ51" s="371"/>
      <c r="IR51" s="371"/>
      <c r="IS51" s="371"/>
      <c r="IT51" s="371"/>
      <c r="IU51" s="371"/>
      <c r="IV51" s="371"/>
    </row>
    <row r="52" spans="1:256" s="407" customFormat="1" ht="15.75">
      <c r="A52" s="418"/>
      <c r="B52" s="418"/>
      <c r="C52" s="419">
        <v>6060</v>
      </c>
      <c r="D52" s="420" t="s">
        <v>719</v>
      </c>
      <c r="E52" s="421">
        <f t="shared" si="6"/>
        <v>0</v>
      </c>
      <c r="F52" s="422">
        <v>0</v>
      </c>
      <c r="G52" s="422"/>
      <c r="H52" s="422"/>
      <c r="I52" s="422"/>
      <c r="J52" s="425"/>
      <c r="K52" s="425"/>
      <c r="L52" s="422"/>
      <c r="GZ52" s="371"/>
      <c r="HA52" s="371"/>
      <c r="HB52" s="371"/>
      <c r="HC52" s="371"/>
      <c r="HD52" s="371"/>
      <c r="HE52" s="371"/>
      <c r="HF52" s="371"/>
      <c r="HG52" s="371"/>
      <c r="HH52" s="371"/>
      <c r="HI52" s="371"/>
      <c r="HJ52" s="371"/>
      <c r="HK52" s="371"/>
      <c r="HL52" s="371"/>
      <c r="HM52" s="371"/>
      <c r="HN52" s="371"/>
      <c r="HO52" s="371"/>
      <c r="HP52" s="371"/>
      <c r="HQ52" s="371"/>
      <c r="HR52" s="371"/>
      <c r="HS52" s="371"/>
      <c r="HT52" s="371"/>
      <c r="HU52" s="371"/>
      <c r="HV52" s="371"/>
      <c r="HW52" s="371"/>
      <c r="HX52" s="371"/>
      <c r="HY52" s="371"/>
      <c r="HZ52" s="371"/>
      <c r="IA52" s="371"/>
      <c r="IB52" s="371"/>
      <c r="IC52" s="371"/>
      <c r="ID52" s="371"/>
      <c r="IE52" s="371"/>
      <c r="IF52" s="371"/>
      <c r="IG52" s="371"/>
      <c r="IH52" s="371"/>
      <c r="II52" s="371"/>
      <c r="IJ52" s="371"/>
      <c r="IK52" s="371"/>
      <c r="IL52" s="371"/>
      <c r="IM52" s="371"/>
      <c r="IN52" s="371"/>
      <c r="IO52" s="371"/>
      <c r="IP52" s="371"/>
      <c r="IQ52" s="371"/>
      <c r="IR52" s="371"/>
      <c r="IS52" s="371"/>
      <c r="IT52" s="371"/>
      <c r="IU52" s="371"/>
      <c r="IV52" s="371"/>
    </row>
    <row r="53" spans="1:256" s="407" customFormat="1" ht="15.75">
      <c r="A53" s="416"/>
      <c r="B53" s="416">
        <v>80195</v>
      </c>
      <c r="C53" s="416"/>
      <c r="D53" s="417" t="s">
        <v>306</v>
      </c>
      <c r="E53" s="273">
        <f>SUM(E54:E54)</f>
        <v>39675.415566250005</v>
      </c>
      <c r="F53" s="273">
        <f>SUM(F54:F54)</f>
        <v>39675.415566250005</v>
      </c>
      <c r="G53" s="273"/>
      <c r="H53" s="273"/>
      <c r="I53" s="273"/>
      <c r="J53" s="273"/>
      <c r="K53" s="273"/>
      <c r="L53" s="273"/>
      <c r="GZ53" s="371"/>
      <c r="HA53" s="371"/>
      <c r="HB53" s="371"/>
      <c r="HC53" s="371"/>
      <c r="HD53" s="371"/>
      <c r="HE53" s="371"/>
      <c r="HF53" s="371"/>
      <c r="HG53" s="371"/>
      <c r="HH53" s="371"/>
      <c r="HI53" s="371"/>
      <c r="HJ53" s="371"/>
      <c r="HK53" s="371"/>
      <c r="HL53" s="371"/>
      <c r="HM53" s="371"/>
      <c r="HN53" s="371"/>
      <c r="HO53" s="371"/>
      <c r="HP53" s="371"/>
      <c r="HQ53" s="371"/>
      <c r="HR53" s="371"/>
      <c r="HS53" s="371"/>
      <c r="HT53" s="371"/>
      <c r="HU53" s="371"/>
      <c r="HV53" s="371"/>
      <c r="HW53" s="371"/>
      <c r="HX53" s="371"/>
      <c r="HY53" s="371"/>
      <c r="HZ53" s="371"/>
      <c r="IA53" s="371"/>
      <c r="IB53" s="371"/>
      <c r="IC53" s="371"/>
      <c r="ID53" s="371"/>
      <c r="IE53" s="371"/>
      <c r="IF53" s="371"/>
      <c r="IG53" s="371"/>
      <c r="IH53" s="371"/>
      <c r="II53" s="371"/>
      <c r="IJ53" s="371"/>
      <c r="IK53" s="371"/>
      <c r="IL53" s="371"/>
      <c r="IM53" s="371"/>
      <c r="IN53" s="371"/>
      <c r="IO53" s="371"/>
      <c r="IP53" s="371"/>
      <c r="IQ53" s="371"/>
      <c r="IR53" s="371"/>
      <c r="IS53" s="371"/>
      <c r="IT53" s="371"/>
      <c r="IU53" s="371"/>
      <c r="IV53" s="371"/>
    </row>
    <row r="54" spans="1:256" s="407" customFormat="1" ht="15.75">
      <c r="A54" s="170"/>
      <c r="B54" s="170"/>
      <c r="C54" s="193">
        <v>4440</v>
      </c>
      <c r="D54" s="433" t="s">
        <v>574</v>
      </c>
      <c r="E54" s="434">
        <f>F54</f>
        <v>39675.415566250005</v>
      </c>
      <c r="F54" s="241">
        <f>(21*2666.77*0.0625+37*958.75)*1.018</f>
        <v>39675.415566250005</v>
      </c>
      <c r="G54" s="70"/>
      <c r="H54" s="70"/>
      <c r="I54" s="435"/>
      <c r="J54" s="435"/>
      <c r="K54" s="435"/>
      <c r="L54" s="435"/>
      <c r="GZ54" s="371"/>
      <c r="HA54" s="371"/>
      <c r="HB54" s="371"/>
      <c r="HC54" s="371"/>
      <c r="HD54" s="371"/>
      <c r="HE54" s="371"/>
      <c r="HF54" s="371"/>
      <c r="HG54" s="371"/>
      <c r="HH54" s="371"/>
      <c r="HI54" s="371"/>
      <c r="HJ54" s="371"/>
      <c r="HK54" s="371"/>
      <c r="HL54" s="371"/>
      <c r="HM54" s="371"/>
      <c r="HN54" s="371"/>
      <c r="HO54" s="371"/>
      <c r="HP54" s="371"/>
      <c r="HQ54" s="371"/>
      <c r="HR54" s="371"/>
      <c r="HS54" s="371"/>
      <c r="HT54" s="371"/>
      <c r="HU54" s="371"/>
      <c r="HV54" s="371"/>
      <c r="HW54" s="371"/>
      <c r="HX54" s="371"/>
      <c r="HY54" s="371"/>
      <c r="HZ54" s="371"/>
      <c r="IA54" s="371"/>
      <c r="IB54" s="371"/>
      <c r="IC54" s="371"/>
      <c r="ID54" s="371"/>
      <c r="IE54" s="371"/>
      <c r="IF54" s="371"/>
      <c r="IG54" s="371"/>
      <c r="IH54" s="371"/>
      <c r="II54" s="371"/>
      <c r="IJ54" s="371"/>
      <c r="IK54" s="371"/>
      <c r="IL54" s="371"/>
      <c r="IM54" s="371"/>
      <c r="IN54" s="371"/>
      <c r="IO54" s="371"/>
      <c r="IP54" s="371"/>
      <c r="IQ54" s="371"/>
      <c r="IR54" s="371"/>
      <c r="IS54" s="371"/>
      <c r="IT54" s="371"/>
      <c r="IU54" s="371"/>
      <c r="IV54" s="371"/>
    </row>
    <row r="55" spans="208:256" s="407" customFormat="1" ht="15.75">
      <c r="GZ55" s="371"/>
      <c r="HA55" s="371"/>
      <c r="HB55" s="371"/>
      <c r="HC55" s="371"/>
      <c r="HD55" s="371"/>
      <c r="HE55" s="371"/>
      <c r="HF55" s="371"/>
      <c r="HG55" s="371"/>
      <c r="HH55" s="371"/>
      <c r="HI55" s="371"/>
      <c r="HJ55" s="371"/>
      <c r="HK55" s="371"/>
      <c r="HL55" s="371"/>
      <c r="HM55" s="371"/>
      <c r="HN55" s="371"/>
      <c r="HO55" s="371"/>
      <c r="HP55" s="371"/>
      <c r="HQ55" s="371"/>
      <c r="HR55" s="371"/>
      <c r="HS55" s="371"/>
      <c r="HT55" s="371"/>
      <c r="HU55" s="371"/>
      <c r="HV55" s="371"/>
      <c r="HW55" s="371"/>
      <c r="HX55" s="371"/>
      <c r="HY55" s="371"/>
      <c r="HZ55" s="371"/>
      <c r="IA55" s="371"/>
      <c r="IB55" s="371"/>
      <c r="IC55" s="371"/>
      <c r="ID55" s="371"/>
      <c r="IE55" s="371"/>
      <c r="IF55" s="371"/>
      <c r="IG55" s="371"/>
      <c r="IH55" s="371"/>
      <c r="II55" s="371"/>
      <c r="IJ55" s="371"/>
      <c r="IK55" s="371"/>
      <c r="IL55" s="371"/>
      <c r="IM55" s="371"/>
      <c r="IN55" s="371"/>
      <c r="IO55" s="371"/>
      <c r="IP55" s="371"/>
      <c r="IQ55" s="371"/>
      <c r="IR55" s="371"/>
      <c r="IS55" s="371"/>
      <c r="IT55" s="371"/>
      <c r="IU55" s="371"/>
      <c r="IV55" s="371"/>
    </row>
    <row r="56" spans="208:256" s="407" customFormat="1" ht="15.75">
      <c r="GZ56" s="371"/>
      <c r="HA56" s="371"/>
      <c r="HB56" s="371"/>
      <c r="HC56" s="371"/>
      <c r="HD56" s="371"/>
      <c r="HE56" s="371"/>
      <c r="HF56" s="371"/>
      <c r="HG56" s="371"/>
      <c r="HH56" s="371"/>
      <c r="HI56" s="371"/>
      <c r="HJ56" s="371"/>
      <c r="HK56" s="371"/>
      <c r="HL56" s="371"/>
      <c r="HM56" s="371"/>
      <c r="HN56" s="371"/>
      <c r="HO56" s="371"/>
      <c r="HP56" s="371"/>
      <c r="HQ56" s="371"/>
      <c r="HR56" s="371"/>
      <c r="HS56" s="371"/>
      <c r="HT56" s="371"/>
      <c r="HU56" s="371"/>
      <c r="HV56" s="371"/>
      <c r="HW56" s="371"/>
      <c r="HX56" s="371"/>
      <c r="HY56" s="371"/>
      <c r="HZ56" s="371"/>
      <c r="IA56" s="371"/>
      <c r="IB56" s="371"/>
      <c r="IC56" s="371"/>
      <c r="ID56" s="371"/>
      <c r="IE56" s="371"/>
      <c r="IF56" s="371"/>
      <c r="IG56" s="371"/>
      <c r="IH56" s="371"/>
      <c r="II56" s="371"/>
      <c r="IJ56" s="371"/>
      <c r="IK56" s="371"/>
      <c r="IL56" s="371"/>
      <c r="IM56" s="371"/>
      <c r="IN56" s="371"/>
      <c r="IO56" s="371"/>
      <c r="IP56" s="371"/>
      <c r="IQ56" s="371"/>
      <c r="IR56" s="371"/>
      <c r="IS56" s="371"/>
      <c r="IT56" s="371"/>
      <c r="IU56" s="371"/>
      <c r="IV56" s="371"/>
    </row>
    <row r="57" spans="208:256" s="407" customFormat="1" ht="15.75">
      <c r="GZ57" s="371"/>
      <c r="HA57" s="371"/>
      <c r="HB57" s="371"/>
      <c r="HC57" s="371"/>
      <c r="HD57" s="371"/>
      <c r="HE57" s="371"/>
      <c r="HF57" s="371"/>
      <c r="HG57" s="371"/>
      <c r="HH57" s="371"/>
      <c r="HI57" s="371"/>
      <c r="HJ57" s="371"/>
      <c r="HK57" s="371"/>
      <c r="HL57" s="371"/>
      <c r="HM57" s="371"/>
      <c r="HN57" s="371"/>
      <c r="HO57" s="371"/>
      <c r="HP57" s="371"/>
      <c r="HQ57" s="371"/>
      <c r="HR57" s="371"/>
      <c r="HS57" s="371"/>
      <c r="HT57" s="371"/>
      <c r="HU57" s="371"/>
      <c r="HV57" s="371"/>
      <c r="HW57" s="371"/>
      <c r="HX57" s="371"/>
      <c r="HY57" s="371"/>
      <c r="HZ57" s="371"/>
      <c r="IA57" s="371"/>
      <c r="IB57" s="371"/>
      <c r="IC57" s="371"/>
      <c r="ID57" s="371"/>
      <c r="IE57" s="371"/>
      <c r="IF57" s="371"/>
      <c r="IG57" s="371"/>
      <c r="IH57" s="371"/>
      <c r="II57" s="371"/>
      <c r="IJ57" s="371"/>
      <c r="IK57" s="371"/>
      <c r="IL57" s="371"/>
      <c r="IM57" s="371"/>
      <c r="IN57" s="371"/>
      <c r="IO57" s="371"/>
      <c r="IP57" s="371"/>
      <c r="IQ57" s="371"/>
      <c r="IR57" s="371"/>
      <c r="IS57" s="371"/>
      <c r="IT57" s="371"/>
      <c r="IU57" s="371"/>
      <c r="IV57" s="371"/>
    </row>
    <row r="58" spans="208:256" s="407" customFormat="1" ht="15.75">
      <c r="GZ58" s="371"/>
      <c r="HA58" s="371"/>
      <c r="HB58" s="371"/>
      <c r="HC58" s="371"/>
      <c r="HD58" s="371"/>
      <c r="HE58" s="371"/>
      <c r="HF58" s="371"/>
      <c r="HG58" s="371"/>
      <c r="HH58" s="371"/>
      <c r="HI58" s="371"/>
      <c r="HJ58" s="371"/>
      <c r="HK58" s="371"/>
      <c r="HL58" s="371"/>
      <c r="HM58" s="371"/>
      <c r="HN58" s="371"/>
      <c r="HO58" s="371"/>
      <c r="HP58" s="371"/>
      <c r="HQ58" s="371"/>
      <c r="HR58" s="371"/>
      <c r="HS58" s="371"/>
      <c r="HT58" s="371"/>
      <c r="HU58" s="371"/>
      <c r="HV58" s="371"/>
      <c r="HW58" s="371"/>
      <c r="HX58" s="371"/>
      <c r="HY58" s="371"/>
      <c r="HZ58" s="371"/>
      <c r="IA58" s="371"/>
      <c r="IB58" s="371"/>
      <c r="IC58" s="371"/>
      <c r="ID58" s="371"/>
      <c r="IE58" s="371"/>
      <c r="IF58" s="371"/>
      <c r="IG58" s="371"/>
      <c r="IH58" s="371"/>
      <c r="II58" s="371"/>
      <c r="IJ58" s="371"/>
      <c r="IK58" s="371"/>
      <c r="IL58" s="371"/>
      <c r="IM58" s="371"/>
      <c r="IN58" s="371"/>
      <c r="IO58" s="371"/>
      <c r="IP58" s="371"/>
      <c r="IQ58" s="371"/>
      <c r="IR58" s="371"/>
      <c r="IS58" s="371"/>
      <c r="IT58" s="371"/>
      <c r="IU58" s="371"/>
      <c r="IV58" s="371"/>
    </row>
    <row r="59" spans="208:256" s="407" customFormat="1" ht="15.75">
      <c r="GZ59" s="371"/>
      <c r="HA59" s="371"/>
      <c r="HB59" s="371"/>
      <c r="HC59" s="371"/>
      <c r="HD59" s="371"/>
      <c r="HE59" s="371"/>
      <c r="HF59" s="371"/>
      <c r="HG59" s="371"/>
      <c r="HH59" s="371"/>
      <c r="HI59" s="371"/>
      <c r="HJ59" s="371"/>
      <c r="HK59" s="371"/>
      <c r="HL59" s="371"/>
      <c r="HM59" s="371"/>
      <c r="HN59" s="371"/>
      <c r="HO59" s="371"/>
      <c r="HP59" s="371"/>
      <c r="HQ59" s="371"/>
      <c r="HR59" s="371"/>
      <c r="HS59" s="371"/>
      <c r="HT59" s="371"/>
      <c r="HU59" s="371"/>
      <c r="HV59" s="371"/>
      <c r="HW59" s="371"/>
      <c r="HX59" s="371"/>
      <c r="HY59" s="371"/>
      <c r="HZ59" s="371"/>
      <c r="IA59" s="371"/>
      <c r="IB59" s="371"/>
      <c r="IC59" s="371"/>
      <c r="ID59" s="371"/>
      <c r="IE59" s="371"/>
      <c r="IF59" s="371"/>
      <c r="IG59" s="371"/>
      <c r="IH59" s="371"/>
      <c r="II59" s="371"/>
      <c r="IJ59" s="371"/>
      <c r="IK59" s="371"/>
      <c r="IL59" s="371"/>
      <c r="IM59" s="371"/>
      <c r="IN59" s="371"/>
      <c r="IO59" s="371"/>
      <c r="IP59" s="371"/>
      <c r="IQ59" s="371"/>
      <c r="IR59" s="371"/>
      <c r="IS59" s="371"/>
      <c r="IT59" s="371"/>
      <c r="IU59" s="371"/>
      <c r="IV59" s="371"/>
    </row>
    <row r="60" spans="208:256" s="407" customFormat="1" ht="15.75">
      <c r="GZ60" s="371"/>
      <c r="HA60" s="371"/>
      <c r="HB60" s="371"/>
      <c r="HC60" s="371"/>
      <c r="HD60" s="371"/>
      <c r="HE60" s="371"/>
      <c r="HF60" s="371"/>
      <c r="HG60" s="371"/>
      <c r="HH60" s="371"/>
      <c r="HI60" s="371"/>
      <c r="HJ60" s="371"/>
      <c r="HK60" s="371"/>
      <c r="HL60" s="371"/>
      <c r="HM60" s="371"/>
      <c r="HN60" s="371"/>
      <c r="HO60" s="371"/>
      <c r="HP60" s="371"/>
      <c r="HQ60" s="371"/>
      <c r="HR60" s="371"/>
      <c r="HS60" s="371"/>
      <c r="HT60" s="371"/>
      <c r="HU60" s="371"/>
      <c r="HV60" s="371"/>
      <c r="HW60" s="371"/>
      <c r="HX60" s="371"/>
      <c r="HY60" s="371"/>
      <c r="HZ60" s="371"/>
      <c r="IA60" s="371"/>
      <c r="IB60" s="371"/>
      <c r="IC60" s="371"/>
      <c r="ID60" s="371"/>
      <c r="IE60" s="371"/>
      <c r="IF60" s="371"/>
      <c r="IG60" s="371"/>
      <c r="IH60" s="371"/>
      <c r="II60" s="371"/>
      <c r="IJ60" s="371"/>
      <c r="IK60" s="371"/>
      <c r="IL60" s="371"/>
      <c r="IM60" s="371"/>
      <c r="IN60" s="371"/>
      <c r="IO60" s="371"/>
      <c r="IP60" s="371"/>
      <c r="IQ60" s="371"/>
      <c r="IR60" s="371"/>
      <c r="IS60" s="371"/>
      <c r="IT60" s="371"/>
      <c r="IU60" s="371"/>
      <c r="IV60" s="371"/>
    </row>
    <row r="61" spans="208:256" s="407" customFormat="1" ht="15.75">
      <c r="GZ61" s="371"/>
      <c r="HA61" s="371"/>
      <c r="HB61" s="371"/>
      <c r="HC61" s="371"/>
      <c r="HD61" s="371"/>
      <c r="HE61" s="371"/>
      <c r="HF61" s="371"/>
      <c r="HG61" s="371"/>
      <c r="HH61" s="371"/>
      <c r="HI61" s="371"/>
      <c r="HJ61" s="371"/>
      <c r="HK61" s="371"/>
      <c r="HL61" s="371"/>
      <c r="HM61" s="371"/>
      <c r="HN61" s="371"/>
      <c r="HO61" s="371"/>
      <c r="HP61" s="371"/>
      <c r="HQ61" s="371"/>
      <c r="HR61" s="371"/>
      <c r="HS61" s="371"/>
      <c r="HT61" s="371"/>
      <c r="HU61" s="371"/>
      <c r="HV61" s="371"/>
      <c r="HW61" s="371"/>
      <c r="HX61" s="371"/>
      <c r="HY61" s="371"/>
      <c r="HZ61" s="371"/>
      <c r="IA61" s="371"/>
      <c r="IB61" s="371"/>
      <c r="IC61" s="371"/>
      <c r="ID61" s="371"/>
      <c r="IE61" s="371"/>
      <c r="IF61" s="371"/>
      <c r="IG61" s="371"/>
      <c r="IH61" s="371"/>
      <c r="II61" s="371"/>
      <c r="IJ61" s="371"/>
      <c r="IK61" s="371"/>
      <c r="IL61" s="371"/>
      <c r="IM61" s="371"/>
      <c r="IN61" s="371"/>
      <c r="IO61" s="371"/>
      <c r="IP61" s="371"/>
      <c r="IQ61" s="371"/>
      <c r="IR61" s="371"/>
      <c r="IS61" s="371"/>
      <c r="IT61" s="371"/>
      <c r="IU61" s="371"/>
      <c r="IV61" s="371"/>
    </row>
    <row r="62" spans="208:256" s="407" customFormat="1" ht="15.75">
      <c r="GZ62" s="371"/>
      <c r="HA62" s="371"/>
      <c r="HB62" s="371"/>
      <c r="HC62" s="371"/>
      <c r="HD62" s="371"/>
      <c r="HE62" s="371"/>
      <c r="HF62" s="371"/>
      <c r="HG62" s="371"/>
      <c r="HH62" s="371"/>
      <c r="HI62" s="371"/>
      <c r="HJ62" s="371"/>
      <c r="HK62" s="371"/>
      <c r="HL62" s="371"/>
      <c r="HM62" s="371"/>
      <c r="HN62" s="371"/>
      <c r="HO62" s="371"/>
      <c r="HP62" s="371"/>
      <c r="HQ62" s="371"/>
      <c r="HR62" s="371"/>
      <c r="HS62" s="371"/>
      <c r="HT62" s="371"/>
      <c r="HU62" s="371"/>
      <c r="HV62" s="371"/>
      <c r="HW62" s="371"/>
      <c r="HX62" s="371"/>
      <c r="HY62" s="371"/>
      <c r="HZ62" s="371"/>
      <c r="IA62" s="371"/>
      <c r="IB62" s="371"/>
      <c r="IC62" s="371"/>
      <c r="ID62" s="371"/>
      <c r="IE62" s="371"/>
      <c r="IF62" s="371"/>
      <c r="IG62" s="371"/>
      <c r="IH62" s="371"/>
      <c r="II62" s="371"/>
      <c r="IJ62" s="371"/>
      <c r="IK62" s="371"/>
      <c r="IL62" s="371"/>
      <c r="IM62" s="371"/>
      <c r="IN62" s="371"/>
      <c r="IO62" s="371"/>
      <c r="IP62" s="371"/>
      <c r="IQ62" s="371"/>
      <c r="IR62" s="371"/>
      <c r="IS62" s="371"/>
      <c r="IT62" s="371"/>
      <c r="IU62" s="371"/>
      <c r="IV62" s="371"/>
    </row>
    <row r="63" spans="208:256" s="407" customFormat="1" ht="15.75">
      <c r="GZ63" s="371"/>
      <c r="HA63" s="371"/>
      <c r="HB63" s="371"/>
      <c r="HC63" s="371"/>
      <c r="HD63" s="371"/>
      <c r="HE63" s="371"/>
      <c r="HF63" s="371"/>
      <c r="HG63" s="371"/>
      <c r="HH63" s="371"/>
      <c r="HI63" s="371"/>
      <c r="HJ63" s="371"/>
      <c r="HK63" s="371"/>
      <c r="HL63" s="371"/>
      <c r="HM63" s="371"/>
      <c r="HN63" s="371"/>
      <c r="HO63" s="371"/>
      <c r="HP63" s="371"/>
      <c r="HQ63" s="371"/>
      <c r="HR63" s="371"/>
      <c r="HS63" s="371"/>
      <c r="HT63" s="371"/>
      <c r="HU63" s="371"/>
      <c r="HV63" s="371"/>
      <c r="HW63" s="371"/>
      <c r="HX63" s="371"/>
      <c r="HY63" s="371"/>
      <c r="HZ63" s="371"/>
      <c r="IA63" s="371"/>
      <c r="IB63" s="371"/>
      <c r="IC63" s="371"/>
      <c r="ID63" s="371"/>
      <c r="IE63" s="371"/>
      <c r="IF63" s="371"/>
      <c r="IG63" s="371"/>
      <c r="IH63" s="371"/>
      <c r="II63" s="371"/>
      <c r="IJ63" s="371"/>
      <c r="IK63" s="371"/>
      <c r="IL63" s="371"/>
      <c r="IM63" s="371"/>
      <c r="IN63" s="371"/>
      <c r="IO63" s="371"/>
      <c r="IP63" s="371"/>
      <c r="IQ63" s="371"/>
      <c r="IR63" s="371"/>
      <c r="IS63" s="371"/>
      <c r="IT63" s="371"/>
      <c r="IU63" s="371"/>
      <c r="IV63" s="371"/>
    </row>
    <row r="64" spans="208:256" s="407" customFormat="1" ht="15.75">
      <c r="GZ64" s="371"/>
      <c r="HA64" s="371"/>
      <c r="HB64" s="371"/>
      <c r="HC64" s="371"/>
      <c r="HD64" s="371"/>
      <c r="HE64" s="371"/>
      <c r="HF64" s="371"/>
      <c r="HG64" s="371"/>
      <c r="HH64" s="371"/>
      <c r="HI64" s="371"/>
      <c r="HJ64" s="371"/>
      <c r="HK64" s="371"/>
      <c r="HL64" s="371"/>
      <c r="HM64" s="371"/>
      <c r="HN64" s="371"/>
      <c r="HO64" s="371"/>
      <c r="HP64" s="371"/>
      <c r="HQ64" s="371"/>
      <c r="HR64" s="371"/>
      <c r="HS64" s="371"/>
      <c r="HT64" s="371"/>
      <c r="HU64" s="371"/>
      <c r="HV64" s="371"/>
      <c r="HW64" s="371"/>
      <c r="HX64" s="371"/>
      <c r="HY64" s="371"/>
      <c r="HZ64" s="371"/>
      <c r="IA64" s="371"/>
      <c r="IB64" s="371"/>
      <c r="IC64" s="371"/>
      <c r="ID64" s="371"/>
      <c r="IE64" s="371"/>
      <c r="IF64" s="371"/>
      <c r="IG64" s="371"/>
      <c r="IH64" s="371"/>
      <c r="II64" s="371"/>
      <c r="IJ64" s="371"/>
      <c r="IK64" s="371"/>
      <c r="IL64" s="371"/>
      <c r="IM64" s="371"/>
      <c r="IN64" s="371"/>
      <c r="IO64" s="371"/>
      <c r="IP64" s="371"/>
      <c r="IQ64" s="371"/>
      <c r="IR64" s="371"/>
      <c r="IS64" s="371"/>
      <c r="IT64" s="371"/>
      <c r="IU64" s="371"/>
      <c r="IV64" s="371"/>
    </row>
    <row r="65" spans="208:256" s="407" customFormat="1" ht="15.75">
      <c r="GZ65" s="371"/>
      <c r="HA65" s="371"/>
      <c r="HB65" s="371"/>
      <c r="HC65" s="371"/>
      <c r="HD65" s="371"/>
      <c r="HE65" s="371"/>
      <c r="HF65" s="371"/>
      <c r="HG65" s="371"/>
      <c r="HH65" s="371"/>
      <c r="HI65" s="371"/>
      <c r="HJ65" s="371"/>
      <c r="HK65" s="371"/>
      <c r="HL65" s="371"/>
      <c r="HM65" s="371"/>
      <c r="HN65" s="371"/>
      <c r="HO65" s="371"/>
      <c r="HP65" s="371"/>
      <c r="HQ65" s="371"/>
      <c r="HR65" s="371"/>
      <c r="HS65" s="371"/>
      <c r="HT65" s="371"/>
      <c r="HU65" s="371"/>
      <c r="HV65" s="371"/>
      <c r="HW65" s="371"/>
      <c r="HX65" s="371"/>
      <c r="HY65" s="371"/>
      <c r="HZ65" s="371"/>
      <c r="IA65" s="371"/>
      <c r="IB65" s="371"/>
      <c r="IC65" s="371"/>
      <c r="ID65" s="371"/>
      <c r="IE65" s="371"/>
      <c r="IF65" s="371"/>
      <c r="IG65" s="371"/>
      <c r="IH65" s="371"/>
      <c r="II65" s="371"/>
      <c r="IJ65" s="371"/>
      <c r="IK65" s="371"/>
      <c r="IL65" s="371"/>
      <c r="IM65" s="371"/>
      <c r="IN65" s="371"/>
      <c r="IO65" s="371"/>
      <c r="IP65" s="371"/>
      <c r="IQ65" s="371"/>
      <c r="IR65" s="371"/>
      <c r="IS65" s="371"/>
      <c r="IT65" s="371"/>
      <c r="IU65" s="371"/>
      <c r="IV65" s="371"/>
    </row>
    <row r="66" spans="208:256" s="407" customFormat="1" ht="15.75">
      <c r="GZ66" s="371"/>
      <c r="HA66" s="371"/>
      <c r="HB66" s="371"/>
      <c r="HC66" s="371"/>
      <c r="HD66" s="371"/>
      <c r="HE66" s="371"/>
      <c r="HF66" s="371"/>
      <c r="HG66" s="371"/>
      <c r="HH66" s="371"/>
      <c r="HI66" s="371"/>
      <c r="HJ66" s="371"/>
      <c r="HK66" s="371"/>
      <c r="HL66" s="371"/>
      <c r="HM66" s="371"/>
      <c r="HN66" s="371"/>
      <c r="HO66" s="371"/>
      <c r="HP66" s="371"/>
      <c r="HQ66" s="371"/>
      <c r="HR66" s="371"/>
      <c r="HS66" s="371"/>
      <c r="HT66" s="371"/>
      <c r="HU66" s="371"/>
      <c r="HV66" s="371"/>
      <c r="HW66" s="371"/>
      <c r="HX66" s="371"/>
      <c r="HY66" s="371"/>
      <c r="HZ66" s="371"/>
      <c r="IA66" s="371"/>
      <c r="IB66" s="371"/>
      <c r="IC66" s="371"/>
      <c r="ID66" s="371"/>
      <c r="IE66" s="371"/>
      <c r="IF66" s="371"/>
      <c r="IG66" s="371"/>
      <c r="IH66" s="371"/>
      <c r="II66" s="371"/>
      <c r="IJ66" s="371"/>
      <c r="IK66" s="371"/>
      <c r="IL66" s="371"/>
      <c r="IM66" s="371"/>
      <c r="IN66" s="371"/>
      <c r="IO66" s="371"/>
      <c r="IP66" s="371"/>
      <c r="IQ66" s="371"/>
      <c r="IR66" s="371"/>
      <c r="IS66" s="371"/>
      <c r="IT66" s="371"/>
      <c r="IU66" s="371"/>
      <c r="IV66" s="371"/>
    </row>
    <row r="67" spans="208:256" s="407" customFormat="1" ht="15.75">
      <c r="GZ67" s="371"/>
      <c r="HA67" s="371"/>
      <c r="HB67" s="371"/>
      <c r="HC67" s="371"/>
      <c r="HD67" s="371"/>
      <c r="HE67" s="371"/>
      <c r="HF67" s="371"/>
      <c r="HG67" s="371"/>
      <c r="HH67" s="371"/>
      <c r="HI67" s="371"/>
      <c r="HJ67" s="371"/>
      <c r="HK67" s="371"/>
      <c r="HL67" s="371"/>
      <c r="HM67" s="371"/>
      <c r="HN67" s="371"/>
      <c r="HO67" s="371"/>
      <c r="HP67" s="371"/>
      <c r="HQ67" s="371"/>
      <c r="HR67" s="371"/>
      <c r="HS67" s="371"/>
      <c r="HT67" s="371"/>
      <c r="HU67" s="371"/>
      <c r="HV67" s="371"/>
      <c r="HW67" s="371"/>
      <c r="HX67" s="371"/>
      <c r="HY67" s="371"/>
      <c r="HZ67" s="371"/>
      <c r="IA67" s="371"/>
      <c r="IB67" s="371"/>
      <c r="IC67" s="371"/>
      <c r="ID67" s="371"/>
      <c r="IE67" s="371"/>
      <c r="IF67" s="371"/>
      <c r="IG67" s="371"/>
      <c r="IH67" s="371"/>
      <c r="II67" s="371"/>
      <c r="IJ67" s="371"/>
      <c r="IK67" s="371"/>
      <c r="IL67" s="371"/>
      <c r="IM67" s="371"/>
      <c r="IN67" s="371"/>
      <c r="IO67" s="371"/>
      <c r="IP67" s="371"/>
      <c r="IQ67" s="371"/>
      <c r="IR67" s="371"/>
      <c r="IS67" s="371"/>
      <c r="IT67" s="371"/>
      <c r="IU67" s="371"/>
      <c r="IV67" s="371"/>
    </row>
    <row r="68" spans="208:256" s="407" customFormat="1" ht="15.75">
      <c r="GZ68" s="371"/>
      <c r="HA68" s="371"/>
      <c r="HB68" s="371"/>
      <c r="HC68" s="371"/>
      <c r="HD68" s="371"/>
      <c r="HE68" s="371"/>
      <c r="HF68" s="371"/>
      <c r="HG68" s="371"/>
      <c r="HH68" s="371"/>
      <c r="HI68" s="371"/>
      <c r="HJ68" s="371"/>
      <c r="HK68" s="371"/>
      <c r="HL68" s="371"/>
      <c r="HM68" s="371"/>
      <c r="HN68" s="371"/>
      <c r="HO68" s="371"/>
      <c r="HP68" s="371"/>
      <c r="HQ68" s="371"/>
      <c r="HR68" s="371"/>
      <c r="HS68" s="371"/>
      <c r="HT68" s="371"/>
      <c r="HU68" s="371"/>
      <c r="HV68" s="371"/>
      <c r="HW68" s="371"/>
      <c r="HX68" s="371"/>
      <c r="HY68" s="371"/>
      <c r="HZ68" s="371"/>
      <c r="IA68" s="371"/>
      <c r="IB68" s="371"/>
      <c r="IC68" s="371"/>
      <c r="ID68" s="371"/>
      <c r="IE68" s="371"/>
      <c r="IF68" s="371"/>
      <c r="IG68" s="371"/>
      <c r="IH68" s="371"/>
      <c r="II68" s="371"/>
      <c r="IJ68" s="371"/>
      <c r="IK68" s="371"/>
      <c r="IL68" s="371"/>
      <c r="IM68" s="371"/>
      <c r="IN68" s="371"/>
      <c r="IO68" s="371"/>
      <c r="IP68" s="371"/>
      <c r="IQ68" s="371"/>
      <c r="IR68" s="371"/>
      <c r="IS68" s="371"/>
      <c r="IT68" s="371"/>
      <c r="IU68" s="371"/>
      <c r="IV68" s="371"/>
    </row>
    <row r="69" spans="208:256" s="407" customFormat="1" ht="15.75">
      <c r="GZ69" s="371"/>
      <c r="HA69" s="371"/>
      <c r="HB69" s="371"/>
      <c r="HC69" s="371"/>
      <c r="HD69" s="371"/>
      <c r="HE69" s="371"/>
      <c r="HF69" s="371"/>
      <c r="HG69" s="371"/>
      <c r="HH69" s="371"/>
      <c r="HI69" s="371"/>
      <c r="HJ69" s="371"/>
      <c r="HK69" s="371"/>
      <c r="HL69" s="371"/>
      <c r="HM69" s="371"/>
      <c r="HN69" s="371"/>
      <c r="HO69" s="371"/>
      <c r="HP69" s="371"/>
      <c r="HQ69" s="371"/>
      <c r="HR69" s="371"/>
      <c r="HS69" s="371"/>
      <c r="HT69" s="371"/>
      <c r="HU69" s="371"/>
      <c r="HV69" s="371"/>
      <c r="HW69" s="371"/>
      <c r="HX69" s="371"/>
      <c r="HY69" s="371"/>
      <c r="HZ69" s="371"/>
      <c r="IA69" s="371"/>
      <c r="IB69" s="371"/>
      <c r="IC69" s="371"/>
      <c r="ID69" s="371"/>
      <c r="IE69" s="371"/>
      <c r="IF69" s="371"/>
      <c r="IG69" s="371"/>
      <c r="IH69" s="371"/>
      <c r="II69" s="371"/>
      <c r="IJ69" s="371"/>
      <c r="IK69" s="371"/>
      <c r="IL69" s="371"/>
      <c r="IM69" s="371"/>
      <c r="IN69" s="371"/>
      <c r="IO69" s="371"/>
      <c r="IP69" s="371"/>
      <c r="IQ69" s="371"/>
      <c r="IR69" s="371"/>
      <c r="IS69" s="371"/>
      <c r="IT69" s="371"/>
      <c r="IU69" s="371"/>
      <c r="IV69" s="371"/>
    </row>
    <row r="70" spans="208:256" s="407" customFormat="1" ht="15.75">
      <c r="GZ70" s="371"/>
      <c r="HA70" s="371"/>
      <c r="HB70" s="371"/>
      <c r="HC70" s="371"/>
      <c r="HD70" s="371"/>
      <c r="HE70" s="371"/>
      <c r="HF70" s="371"/>
      <c r="HG70" s="371"/>
      <c r="HH70" s="371"/>
      <c r="HI70" s="371"/>
      <c r="HJ70" s="371"/>
      <c r="HK70" s="371"/>
      <c r="HL70" s="371"/>
      <c r="HM70" s="371"/>
      <c r="HN70" s="371"/>
      <c r="HO70" s="371"/>
      <c r="HP70" s="371"/>
      <c r="HQ70" s="371"/>
      <c r="HR70" s="371"/>
      <c r="HS70" s="371"/>
      <c r="HT70" s="371"/>
      <c r="HU70" s="371"/>
      <c r="HV70" s="371"/>
      <c r="HW70" s="371"/>
      <c r="HX70" s="371"/>
      <c r="HY70" s="371"/>
      <c r="HZ70" s="371"/>
      <c r="IA70" s="371"/>
      <c r="IB70" s="371"/>
      <c r="IC70" s="371"/>
      <c r="ID70" s="371"/>
      <c r="IE70" s="371"/>
      <c r="IF70" s="371"/>
      <c r="IG70" s="371"/>
      <c r="IH70" s="371"/>
      <c r="II70" s="371"/>
      <c r="IJ70" s="371"/>
      <c r="IK70" s="371"/>
      <c r="IL70" s="371"/>
      <c r="IM70" s="371"/>
      <c r="IN70" s="371"/>
      <c r="IO70" s="371"/>
      <c r="IP70" s="371"/>
      <c r="IQ70" s="371"/>
      <c r="IR70" s="371"/>
      <c r="IS70" s="371"/>
      <c r="IT70" s="371"/>
      <c r="IU70" s="371"/>
      <c r="IV70" s="371"/>
    </row>
    <row r="71" spans="208:256" s="407" customFormat="1" ht="15.75">
      <c r="GZ71" s="371"/>
      <c r="HA71" s="371"/>
      <c r="HB71" s="371"/>
      <c r="HC71" s="371"/>
      <c r="HD71" s="371"/>
      <c r="HE71" s="371"/>
      <c r="HF71" s="371"/>
      <c r="HG71" s="371"/>
      <c r="HH71" s="371"/>
      <c r="HI71" s="371"/>
      <c r="HJ71" s="371"/>
      <c r="HK71" s="371"/>
      <c r="HL71" s="371"/>
      <c r="HM71" s="371"/>
      <c r="HN71" s="371"/>
      <c r="HO71" s="371"/>
      <c r="HP71" s="371"/>
      <c r="HQ71" s="371"/>
      <c r="HR71" s="371"/>
      <c r="HS71" s="371"/>
      <c r="HT71" s="371"/>
      <c r="HU71" s="371"/>
      <c r="HV71" s="371"/>
      <c r="HW71" s="371"/>
      <c r="HX71" s="371"/>
      <c r="HY71" s="371"/>
      <c r="HZ71" s="371"/>
      <c r="IA71" s="371"/>
      <c r="IB71" s="371"/>
      <c r="IC71" s="371"/>
      <c r="ID71" s="371"/>
      <c r="IE71" s="371"/>
      <c r="IF71" s="371"/>
      <c r="IG71" s="371"/>
      <c r="IH71" s="371"/>
      <c r="II71" s="371"/>
      <c r="IJ71" s="371"/>
      <c r="IK71" s="371"/>
      <c r="IL71" s="371"/>
      <c r="IM71" s="371"/>
      <c r="IN71" s="371"/>
      <c r="IO71" s="371"/>
      <c r="IP71" s="371"/>
      <c r="IQ71" s="371"/>
      <c r="IR71" s="371"/>
      <c r="IS71" s="371"/>
      <c r="IT71" s="371"/>
      <c r="IU71" s="371"/>
      <c r="IV71" s="371"/>
    </row>
    <row r="72" spans="208:256" s="407" customFormat="1" ht="15.75">
      <c r="GZ72" s="371"/>
      <c r="HA72" s="371"/>
      <c r="HB72" s="371"/>
      <c r="HC72" s="371"/>
      <c r="HD72" s="371"/>
      <c r="HE72" s="371"/>
      <c r="HF72" s="371"/>
      <c r="HG72" s="371"/>
      <c r="HH72" s="371"/>
      <c r="HI72" s="371"/>
      <c r="HJ72" s="371"/>
      <c r="HK72" s="371"/>
      <c r="HL72" s="371"/>
      <c r="HM72" s="371"/>
      <c r="HN72" s="371"/>
      <c r="HO72" s="371"/>
      <c r="HP72" s="371"/>
      <c r="HQ72" s="371"/>
      <c r="HR72" s="371"/>
      <c r="HS72" s="371"/>
      <c r="HT72" s="371"/>
      <c r="HU72" s="371"/>
      <c r="HV72" s="371"/>
      <c r="HW72" s="371"/>
      <c r="HX72" s="371"/>
      <c r="HY72" s="371"/>
      <c r="HZ72" s="371"/>
      <c r="IA72" s="371"/>
      <c r="IB72" s="371"/>
      <c r="IC72" s="371"/>
      <c r="ID72" s="371"/>
      <c r="IE72" s="371"/>
      <c r="IF72" s="371"/>
      <c r="IG72" s="371"/>
      <c r="IH72" s="371"/>
      <c r="II72" s="371"/>
      <c r="IJ72" s="371"/>
      <c r="IK72" s="371"/>
      <c r="IL72" s="371"/>
      <c r="IM72" s="371"/>
      <c r="IN72" s="371"/>
      <c r="IO72" s="371"/>
      <c r="IP72" s="371"/>
      <c r="IQ72" s="371"/>
      <c r="IR72" s="371"/>
      <c r="IS72" s="371"/>
      <c r="IT72" s="371"/>
      <c r="IU72" s="371"/>
      <c r="IV72" s="371"/>
    </row>
    <row r="73" spans="208:256" s="407" customFormat="1" ht="15.75">
      <c r="GZ73" s="371"/>
      <c r="HA73" s="371"/>
      <c r="HB73" s="371"/>
      <c r="HC73" s="371"/>
      <c r="HD73" s="371"/>
      <c r="HE73" s="371"/>
      <c r="HF73" s="371"/>
      <c r="HG73" s="371"/>
      <c r="HH73" s="371"/>
      <c r="HI73" s="371"/>
      <c r="HJ73" s="371"/>
      <c r="HK73" s="371"/>
      <c r="HL73" s="371"/>
      <c r="HM73" s="371"/>
      <c r="HN73" s="371"/>
      <c r="HO73" s="371"/>
      <c r="HP73" s="371"/>
      <c r="HQ73" s="371"/>
      <c r="HR73" s="371"/>
      <c r="HS73" s="371"/>
      <c r="HT73" s="371"/>
      <c r="HU73" s="371"/>
      <c r="HV73" s="371"/>
      <c r="HW73" s="371"/>
      <c r="HX73" s="371"/>
      <c r="HY73" s="371"/>
      <c r="HZ73" s="371"/>
      <c r="IA73" s="371"/>
      <c r="IB73" s="371"/>
      <c r="IC73" s="371"/>
      <c r="ID73" s="371"/>
      <c r="IE73" s="371"/>
      <c r="IF73" s="371"/>
      <c r="IG73" s="371"/>
      <c r="IH73" s="371"/>
      <c r="II73" s="371"/>
      <c r="IJ73" s="371"/>
      <c r="IK73" s="371"/>
      <c r="IL73" s="371"/>
      <c r="IM73" s="371"/>
      <c r="IN73" s="371"/>
      <c r="IO73" s="371"/>
      <c r="IP73" s="371"/>
      <c r="IQ73" s="371"/>
      <c r="IR73" s="371"/>
      <c r="IS73" s="371"/>
      <c r="IT73" s="371"/>
      <c r="IU73" s="371"/>
      <c r="IV73" s="371"/>
    </row>
    <row r="74" spans="208:256" s="407" customFormat="1" ht="15.75">
      <c r="GZ74" s="371"/>
      <c r="HA74" s="371"/>
      <c r="HB74" s="371"/>
      <c r="HC74" s="371"/>
      <c r="HD74" s="371"/>
      <c r="HE74" s="371"/>
      <c r="HF74" s="371"/>
      <c r="HG74" s="371"/>
      <c r="HH74" s="371"/>
      <c r="HI74" s="371"/>
      <c r="HJ74" s="371"/>
      <c r="HK74" s="371"/>
      <c r="HL74" s="371"/>
      <c r="HM74" s="371"/>
      <c r="HN74" s="371"/>
      <c r="HO74" s="371"/>
      <c r="HP74" s="371"/>
      <c r="HQ74" s="371"/>
      <c r="HR74" s="371"/>
      <c r="HS74" s="371"/>
      <c r="HT74" s="371"/>
      <c r="HU74" s="371"/>
      <c r="HV74" s="371"/>
      <c r="HW74" s="371"/>
      <c r="HX74" s="371"/>
      <c r="HY74" s="371"/>
      <c r="HZ74" s="371"/>
      <c r="IA74" s="371"/>
      <c r="IB74" s="371"/>
      <c r="IC74" s="371"/>
      <c r="ID74" s="371"/>
      <c r="IE74" s="371"/>
      <c r="IF74" s="371"/>
      <c r="IG74" s="371"/>
      <c r="IH74" s="371"/>
      <c r="II74" s="371"/>
      <c r="IJ74" s="371"/>
      <c r="IK74" s="371"/>
      <c r="IL74" s="371"/>
      <c r="IM74" s="371"/>
      <c r="IN74" s="371"/>
      <c r="IO74" s="371"/>
      <c r="IP74" s="371"/>
      <c r="IQ74" s="371"/>
      <c r="IR74" s="371"/>
      <c r="IS74" s="371"/>
      <c r="IT74" s="371"/>
      <c r="IU74" s="371"/>
      <c r="IV74" s="371"/>
    </row>
    <row r="75" spans="208:256" s="407" customFormat="1" ht="15.75">
      <c r="GZ75" s="371"/>
      <c r="HA75" s="371"/>
      <c r="HB75" s="371"/>
      <c r="HC75" s="371"/>
      <c r="HD75" s="371"/>
      <c r="HE75" s="371"/>
      <c r="HF75" s="371"/>
      <c r="HG75" s="371"/>
      <c r="HH75" s="371"/>
      <c r="HI75" s="371"/>
      <c r="HJ75" s="371"/>
      <c r="HK75" s="371"/>
      <c r="HL75" s="371"/>
      <c r="HM75" s="371"/>
      <c r="HN75" s="371"/>
      <c r="HO75" s="371"/>
      <c r="HP75" s="371"/>
      <c r="HQ75" s="371"/>
      <c r="HR75" s="371"/>
      <c r="HS75" s="371"/>
      <c r="HT75" s="371"/>
      <c r="HU75" s="371"/>
      <c r="HV75" s="371"/>
      <c r="HW75" s="371"/>
      <c r="HX75" s="371"/>
      <c r="HY75" s="371"/>
      <c r="HZ75" s="371"/>
      <c r="IA75" s="371"/>
      <c r="IB75" s="371"/>
      <c r="IC75" s="371"/>
      <c r="ID75" s="371"/>
      <c r="IE75" s="371"/>
      <c r="IF75" s="371"/>
      <c r="IG75" s="371"/>
      <c r="IH75" s="371"/>
      <c r="II75" s="371"/>
      <c r="IJ75" s="371"/>
      <c r="IK75" s="371"/>
      <c r="IL75" s="371"/>
      <c r="IM75" s="371"/>
      <c r="IN75" s="371"/>
      <c r="IO75" s="371"/>
      <c r="IP75" s="371"/>
      <c r="IQ75" s="371"/>
      <c r="IR75" s="371"/>
      <c r="IS75" s="371"/>
      <c r="IT75" s="371"/>
      <c r="IU75" s="371"/>
      <c r="IV75" s="371"/>
    </row>
    <row r="76" spans="208:256" s="407" customFormat="1" ht="15.75">
      <c r="GZ76" s="371"/>
      <c r="HA76" s="371"/>
      <c r="HB76" s="371"/>
      <c r="HC76" s="371"/>
      <c r="HD76" s="371"/>
      <c r="HE76" s="371"/>
      <c r="HF76" s="371"/>
      <c r="HG76" s="371"/>
      <c r="HH76" s="371"/>
      <c r="HI76" s="371"/>
      <c r="HJ76" s="371"/>
      <c r="HK76" s="371"/>
      <c r="HL76" s="371"/>
      <c r="HM76" s="371"/>
      <c r="HN76" s="371"/>
      <c r="HO76" s="371"/>
      <c r="HP76" s="371"/>
      <c r="HQ76" s="371"/>
      <c r="HR76" s="371"/>
      <c r="HS76" s="371"/>
      <c r="HT76" s="371"/>
      <c r="HU76" s="371"/>
      <c r="HV76" s="371"/>
      <c r="HW76" s="371"/>
      <c r="HX76" s="371"/>
      <c r="HY76" s="371"/>
      <c r="HZ76" s="371"/>
      <c r="IA76" s="371"/>
      <c r="IB76" s="371"/>
      <c r="IC76" s="371"/>
      <c r="ID76" s="371"/>
      <c r="IE76" s="371"/>
      <c r="IF76" s="371"/>
      <c r="IG76" s="371"/>
      <c r="IH76" s="371"/>
      <c r="II76" s="371"/>
      <c r="IJ76" s="371"/>
      <c r="IK76" s="371"/>
      <c r="IL76" s="371"/>
      <c r="IM76" s="371"/>
      <c r="IN76" s="371"/>
      <c r="IO76" s="371"/>
      <c r="IP76" s="371"/>
      <c r="IQ76" s="371"/>
      <c r="IR76" s="371"/>
      <c r="IS76" s="371"/>
      <c r="IT76" s="371"/>
      <c r="IU76" s="371"/>
      <c r="IV76" s="371"/>
    </row>
    <row r="77" spans="208:256" s="407" customFormat="1" ht="15.75">
      <c r="GZ77" s="371"/>
      <c r="HA77" s="371"/>
      <c r="HB77" s="371"/>
      <c r="HC77" s="371"/>
      <c r="HD77" s="371"/>
      <c r="HE77" s="371"/>
      <c r="HF77" s="371"/>
      <c r="HG77" s="371"/>
      <c r="HH77" s="371"/>
      <c r="HI77" s="371"/>
      <c r="HJ77" s="371"/>
      <c r="HK77" s="371"/>
      <c r="HL77" s="371"/>
      <c r="HM77" s="371"/>
      <c r="HN77" s="371"/>
      <c r="HO77" s="371"/>
      <c r="HP77" s="371"/>
      <c r="HQ77" s="371"/>
      <c r="HR77" s="371"/>
      <c r="HS77" s="371"/>
      <c r="HT77" s="371"/>
      <c r="HU77" s="371"/>
      <c r="HV77" s="371"/>
      <c r="HW77" s="371"/>
      <c r="HX77" s="371"/>
      <c r="HY77" s="371"/>
      <c r="HZ77" s="371"/>
      <c r="IA77" s="371"/>
      <c r="IB77" s="371"/>
      <c r="IC77" s="371"/>
      <c r="ID77" s="371"/>
      <c r="IE77" s="371"/>
      <c r="IF77" s="371"/>
      <c r="IG77" s="371"/>
      <c r="IH77" s="371"/>
      <c r="II77" s="371"/>
      <c r="IJ77" s="371"/>
      <c r="IK77" s="371"/>
      <c r="IL77" s="371"/>
      <c r="IM77" s="371"/>
      <c r="IN77" s="371"/>
      <c r="IO77" s="371"/>
      <c r="IP77" s="371"/>
      <c r="IQ77" s="371"/>
      <c r="IR77" s="371"/>
      <c r="IS77" s="371"/>
      <c r="IT77" s="371"/>
      <c r="IU77" s="371"/>
      <c r="IV77" s="371"/>
    </row>
    <row r="78" spans="208:256" s="407" customFormat="1" ht="15.75">
      <c r="GZ78" s="371"/>
      <c r="HA78" s="371"/>
      <c r="HB78" s="371"/>
      <c r="HC78" s="371"/>
      <c r="HD78" s="371"/>
      <c r="HE78" s="371"/>
      <c r="HF78" s="371"/>
      <c r="HG78" s="371"/>
      <c r="HH78" s="371"/>
      <c r="HI78" s="371"/>
      <c r="HJ78" s="371"/>
      <c r="HK78" s="371"/>
      <c r="HL78" s="371"/>
      <c r="HM78" s="371"/>
      <c r="HN78" s="371"/>
      <c r="HO78" s="371"/>
      <c r="HP78" s="371"/>
      <c r="HQ78" s="371"/>
      <c r="HR78" s="371"/>
      <c r="HS78" s="371"/>
      <c r="HT78" s="371"/>
      <c r="HU78" s="371"/>
      <c r="HV78" s="371"/>
      <c r="HW78" s="371"/>
      <c r="HX78" s="371"/>
      <c r="HY78" s="371"/>
      <c r="HZ78" s="371"/>
      <c r="IA78" s="371"/>
      <c r="IB78" s="371"/>
      <c r="IC78" s="371"/>
      <c r="ID78" s="371"/>
      <c r="IE78" s="371"/>
      <c r="IF78" s="371"/>
      <c r="IG78" s="371"/>
      <c r="IH78" s="371"/>
      <c r="II78" s="371"/>
      <c r="IJ78" s="371"/>
      <c r="IK78" s="371"/>
      <c r="IL78" s="371"/>
      <c r="IM78" s="371"/>
      <c r="IN78" s="371"/>
      <c r="IO78" s="371"/>
      <c r="IP78" s="371"/>
      <c r="IQ78" s="371"/>
      <c r="IR78" s="371"/>
      <c r="IS78" s="371"/>
      <c r="IT78" s="371"/>
      <c r="IU78" s="371"/>
      <c r="IV78" s="371"/>
    </row>
    <row r="79" spans="208:256" s="407" customFormat="1" ht="15.75">
      <c r="GZ79" s="371"/>
      <c r="HA79" s="371"/>
      <c r="HB79" s="371"/>
      <c r="HC79" s="371"/>
      <c r="HD79" s="371"/>
      <c r="HE79" s="371"/>
      <c r="HF79" s="371"/>
      <c r="HG79" s="371"/>
      <c r="HH79" s="371"/>
      <c r="HI79" s="371"/>
      <c r="HJ79" s="371"/>
      <c r="HK79" s="371"/>
      <c r="HL79" s="371"/>
      <c r="HM79" s="371"/>
      <c r="HN79" s="371"/>
      <c r="HO79" s="371"/>
      <c r="HP79" s="371"/>
      <c r="HQ79" s="371"/>
      <c r="HR79" s="371"/>
      <c r="HS79" s="371"/>
      <c r="HT79" s="371"/>
      <c r="HU79" s="371"/>
      <c r="HV79" s="371"/>
      <c r="HW79" s="371"/>
      <c r="HX79" s="371"/>
      <c r="HY79" s="371"/>
      <c r="HZ79" s="371"/>
      <c r="IA79" s="371"/>
      <c r="IB79" s="371"/>
      <c r="IC79" s="371"/>
      <c r="ID79" s="371"/>
      <c r="IE79" s="371"/>
      <c r="IF79" s="371"/>
      <c r="IG79" s="371"/>
      <c r="IH79" s="371"/>
      <c r="II79" s="371"/>
      <c r="IJ79" s="371"/>
      <c r="IK79" s="371"/>
      <c r="IL79" s="371"/>
      <c r="IM79" s="371"/>
      <c r="IN79" s="371"/>
      <c r="IO79" s="371"/>
      <c r="IP79" s="371"/>
      <c r="IQ79" s="371"/>
      <c r="IR79" s="371"/>
      <c r="IS79" s="371"/>
      <c r="IT79" s="371"/>
      <c r="IU79" s="371"/>
      <c r="IV79" s="371"/>
    </row>
    <row r="80" spans="208:256" s="407" customFormat="1" ht="15.75">
      <c r="GZ80" s="371"/>
      <c r="HA80" s="371"/>
      <c r="HB80" s="371"/>
      <c r="HC80" s="371"/>
      <c r="HD80" s="371"/>
      <c r="HE80" s="371"/>
      <c r="HF80" s="371"/>
      <c r="HG80" s="371"/>
      <c r="HH80" s="371"/>
      <c r="HI80" s="371"/>
      <c r="HJ80" s="371"/>
      <c r="HK80" s="371"/>
      <c r="HL80" s="371"/>
      <c r="HM80" s="371"/>
      <c r="HN80" s="371"/>
      <c r="HO80" s="371"/>
      <c r="HP80" s="371"/>
      <c r="HQ80" s="371"/>
      <c r="HR80" s="371"/>
      <c r="HS80" s="371"/>
      <c r="HT80" s="371"/>
      <c r="HU80" s="371"/>
      <c r="HV80" s="371"/>
      <c r="HW80" s="371"/>
      <c r="HX80" s="371"/>
      <c r="HY80" s="371"/>
      <c r="HZ80" s="371"/>
      <c r="IA80" s="371"/>
      <c r="IB80" s="371"/>
      <c r="IC80" s="371"/>
      <c r="ID80" s="371"/>
      <c r="IE80" s="371"/>
      <c r="IF80" s="371"/>
      <c r="IG80" s="371"/>
      <c r="IH80" s="371"/>
      <c r="II80" s="371"/>
      <c r="IJ80" s="371"/>
      <c r="IK80" s="371"/>
      <c r="IL80" s="371"/>
      <c r="IM80" s="371"/>
      <c r="IN80" s="371"/>
      <c r="IO80" s="371"/>
      <c r="IP80" s="371"/>
      <c r="IQ80" s="371"/>
      <c r="IR80" s="371"/>
      <c r="IS80" s="371"/>
      <c r="IT80" s="371"/>
      <c r="IU80" s="371"/>
      <c r="IV80" s="371"/>
    </row>
    <row r="81" spans="208:256" s="407" customFormat="1" ht="15.75">
      <c r="GZ81" s="371"/>
      <c r="HA81" s="371"/>
      <c r="HB81" s="371"/>
      <c r="HC81" s="371"/>
      <c r="HD81" s="371"/>
      <c r="HE81" s="371"/>
      <c r="HF81" s="371"/>
      <c r="HG81" s="371"/>
      <c r="HH81" s="371"/>
      <c r="HI81" s="371"/>
      <c r="HJ81" s="371"/>
      <c r="HK81" s="371"/>
      <c r="HL81" s="371"/>
      <c r="HM81" s="371"/>
      <c r="HN81" s="371"/>
      <c r="HO81" s="371"/>
      <c r="HP81" s="371"/>
      <c r="HQ81" s="371"/>
      <c r="HR81" s="371"/>
      <c r="HS81" s="371"/>
      <c r="HT81" s="371"/>
      <c r="HU81" s="371"/>
      <c r="HV81" s="371"/>
      <c r="HW81" s="371"/>
      <c r="HX81" s="371"/>
      <c r="HY81" s="371"/>
      <c r="HZ81" s="371"/>
      <c r="IA81" s="371"/>
      <c r="IB81" s="371"/>
      <c r="IC81" s="371"/>
      <c r="ID81" s="371"/>
      <c r="IE81" s="371"/>
      <c r="IF81" s="371"/>
      <c r="IG81" s="371"/>
      <c r="IH81" s="371"/>
      <c r="II81" s="371"/>
      <c r="IJ81" s="371"/>
      <c r="IK81" s="371"/>
      <c r="IL81" s="371"/>
      <c r="IM81" s="371"/>
      <c r="IN81" s="371"/>
      <c r="IO81" s="371"/>
      <c r="IP81" s="371"/>
      <c r="IQ81" s="371"/>
      <c r="IR81" s="371"/>
      <c r="IS81" s="371"/>
      <c r="IT81" s="371"/>
      <c r="IU81" s="371"/>
      <c r="IV81" s="371"/>
    </row>
    <row r="82" spans="208:256" s="407" customFormat="1" ht="15.75">
      <c r="GZ82" s="371"/>
      <c r="HA82" s="371"/>
      <c r="HB82" s="371"/>
      <c r="HC82" s="371"/>
      <c r="HD82" s="371"/>
      <c r="HE82" s="371"/>
      <c r="HF82" s="371"/>
      <c r="HG82" s="371"/>
      <c r="HH82" s="371"/>
      <c r="HI82" s="371"/>
      <c r="HJ82" s="371"/>
      <c r="HK82" s="371"/>
      <c r="HL82" s="371"/>
      <c r="HM82" s="371"/>
      <c r="HN82" s="371"/>
      <c r="HO82" s="371"/>
      <c r="HP82" s="371"/>
      <c r="HQ82" s="371"/>
      <c r="HR82" s="371"/>
      <c r="HS82" s="371"/>
      <c r="HT82" s="371"/>
      <c r="HU82" s="371"/>
      <c r="HV82" s="371"/>
      <c r="HW82" s="371"/>
      <c r="HX82" s="371"/>
      <c r="HY82" s="371"/>
      <c r="HZ82" s="371"/>
      <c r="IA82" s="371"/>
      <c r="IB82" s="371"/>
      <c r="IC82" s="371"/>
      <c r="ID82" s="371"/>
      <c r="IE82" s="371"/>
      <c r="IF82" s="371"/>
      <c r="IG82" s="371"/>
      <c r="IH82" s="371"/>
      <c r="II82" s="371"/>
      <c r="IJ82" s="371"/>
      <c r="IK82" s="371"/>
      <c r="IL82" s="371"/>
      <c r="IM82" s="371"/>
      <c r="IN82" s="371"/>
      <c r="IO82" s="371"/>
      <c r="IP82" s="371"/>
      <c r="IQ82" s="371"/>
      <c r="IR82" s="371"/>
      <c r="IS82" s="371"/>
      <c r="IT82" s="371"/>
      <c r="IU82" s="371"/>
      <c r="IV82" s="371"/>
    </row>
    <row r="83" spans="208:256" s="407" customFormat="1" ht="15.75">
      <c r="GZ83" s="371"/>
      <c r="HA83" s="371"/>
      <c r="HB83" s="371"/>
      <c r="HC83" s="371"/>
      <c r="HD83" s="371"/>
      <c r="HE83" s="371"/>
      <c r="HF83" s="371"/>
      <c r="HG83" s="371"/>
      <c r="HH83" s="371"/>
      <c r="HI83" s="371"/>
      <c r="HJ83" s="371"/>
      <c r="HK83" s="371"/>
      <c r="HL83" s="371"/>
      <c r="HM83" s="371"/>
      <c r="HN83" s="371"/>
      <c r="HO83" s="371"/>
      <c r="HP83" s="371"/>
      <c r="HQ83" s="371"/>
      <c r="HR83" s="371"/>
      <c r="HS83" s="371"/>
      <c r="HT83" s="371"/>
      <c r="HU83" s="371"/>
      <c r="HV83" s="371"/>
      <c r="HW83" s="371"/>
      <c r="HX83" s="371"/>
      <c r="HY83" s="371"/>
      <c r="HZ83" s="371"/>
      <c r="IA83" s="371"/>
      <c r="IB83" s="371"/>
      <c r="IC83" s="371"/>
      <c r="ID83" s="371"/>
      <c r="IE83" s="371"/>
      <c r="IF83" s="371"/>
      <c r="IG83" s="371"/>
      <c r="IH83" s="371"/>
      <c r="II83" s="371"/>
      <c r="IJ83" s="371"/>
      <c r="IK83" s="371"/>
      <c r="IL83" s="371"/>
      <c r="IM83" s="371"/>
      <c r="IN83" s="371"/>
      <c r="IO83" s="371"/>
      <c r="IP83" s="371"/>
      <c r="IQ83" s="371"/>
      <c r="IR83" s="371"/>
      <c r="IS83" s="371"/>
      <c r="IT83" s="371"/>
      <c r="IU83" s="371"/>
      <c r="IV83" s="371"/>
    </row>
    <row r="84" spans="208:256" s="407" customFormat="1" ht="15.75">
      <c r="GZ84" s="371"/>
      <c r="HA84" s="371"/>
      <c r="HB84" s="371"/>
      <c r="HC84" s="371"/>
      <c r="HD84" s="371"/>
      <c r="HE84" s="371"/>
      <c r="HF84" s="371"/>
      <c r="HG84" s="371"/>
      <c r="HH84" s="371"/>
      <c r="HI84" s="371"/>
      <c r="HJ84" s="371"/>
      <c r="HK84" s="371"/>
      <c r="HL84" s="371"/>
      <c r="HM84" s="371"/>
      <c r="HN84" s="371"/>
      <c r="HO84" s="371"/>
      <c r="HP84" s="371"/>
      <c r="HQ84" s="371"/>
      <c r="HR84" s="371"/>
      <c r="HS84" s="371"/>
      <c r="HT84" s="371"/>
      <c r="HU84" s="371"/>
      <c r="HV84" s="371"/>
      <c r="HW84" s="371"/>
      <c r="HX84" s="371"/>
      <c r="HY84" s="371"/>
      <c r="HZ84" s="371"/>
      <c r="IA84" s="371"/>
      <c r="IB84" s="371"/>
      <c r="IC84" s="371"/>
      <c r="ID84" s="371"/>
      <c r="IE84" s="371"/>
      <c r="IF84" s="371"/>
      <c r="IG84" s="371"/>
      <c r="IH84" s="371"/>
      <c r="II84" s="371"/>
      <c r="IJ84" s="371"/>
      <c r="IK84" s="371"/>
      <c r="IL84" s="371"/>
      <c r="IM84" s="371"/>
      <c r="IN84" s="371"/>
      <c r="IO84" s="371"/>
      <c r="IP84" s="371"/>
      <c r="IQ84" s="371"/>
      <c r="IR84" s="371"/>
      <c r="IS84" s="371"/>
      <c r="IT84" s="371"/>
      <c r="IU84" s="371"/>
      <c r="IV84" s="371"/>
    </row>
    <row r="85" spans="208:256" s="407" customFormat="1" ht="15.75">
      <c r="GZ85" s="371"/>
      <c r="HA85" s="371"/>
      <c r="HB85" s="371"/>
      <c r="HC85" s="371"/>
      <c r="HD85" s="371"/>
      <c r="HE85" s="371"/>
      <c r="HF85" s="371"/>
      <c r="HG85" s="371"/>
      <c r="HH85" s="371"/>
      <c r="HI85" s="371"/>
      <c r="HJ85" s="371"/>
      <c r="HK85" s="371"/>
      <c r="HL85" s="371"/>
      <c r="HM85" s="371"/>
      <c r="HN85" s="371"/>
      <c r="HO85" s="371"/>
      <c r="HP85" s="371"/>
      <c r="HQ85" s="371"/>
      <c r="HR85" s="371"/>
      <c r="HS85" s="371"/>
      <c r="HT85" s="371"/>
      <c r="HU85" s="371"/>
      <c r="HV85" s="371"/>
      <c r="HW85" s="371"/>
      <c r="HX85" s="371"/>
      <c r="HY85" s="371"/>
      <c r="HZ85" s="371"/>
      <c r="IA85" s="371"/>
      <c r="IB85" s="371"/>
      <c r="IC85" s="371"/>
      <c r="ID85" s="371"/>
      <c r="IE85" s="371"/>
      <c r="IF85" s="371"/>
      <c r="IG85" s="371"/>
      <c r="IH85" s="371"/>
      <c r="II85" s="371"/>
      <c r="IJ85" s="371"/>
      <c r="IK85" s="371"/>
      <c r="IL85" s="371"/>
      <c r="IM85" s="371"/>
      <c r="IN85" s="371"/>
      <c r="IO85" s="371"/>
      <c r="IP85" s="371"/>
      <c r="IQ85" s="371"/>
      <c r="IR85" s="371"/>
      <c r="IS85" s="371"/>
      <c r="IT85" s="371"/>
      <c r="IU85" s="371"/>
      <c r="IV85" s="371"/>
    </row>
    <row r="86" spans="208:256" s="407" customFormat="1" ht="15.75">
      <c r="GZ86" s="371"/>
      <c r="HA86" s="371"/>
      <c r="HB86" s="371"/>
      <c r="HC86" s="371"/>
      <c r="HD86" s="371"/>
      <c r="HE86" s="371"/>
      <c r="HF86" s="371"/>
      <c r="HG86" s="371"/>
      <c r="HH86" s="371"/>
      <c r="HI86" s="371"/>
      <c r="HJ86" s="371"/>
      <c r="HK86" s="371"/>
      <c r="HL86" s="371"/>
      <c r="HM86" s="371"/>
      <c r="HN86" s="371"/>
      <c r="HO86" s="371"/>
      <c r="HP86" s="371"/>
      <c r="HQ86" s="371"/>
      <c r="HR86" s="371"/>
      <c r="HS86" s="371"/>
      <c r="HT86" s="371"/>
      <c r="HU86" s="371"/>
      <c r="HV86" s="371"/>
      <c r="HW86" s="371"/>
      <c r="HX86" s="371"/>
      <c r="HY86" s="371"/>
      <c r="HZ86" s="371"/>
      <c r="IA86" s="371"/>
      <c r="IB86" s="371"/>
      <c r="IC86" s="371"/>
      <c r="ID86" s="371"/>
      <c r="IE86" s="371"/>
      <c r="IF86" s="371"/>
      <c r="IG86" s="371"/>
      <c r="IH86" s="371"/>
      <c r="II86" s="371"/>
      <c r="IJ86" s="371"/>
      <c r="IK86" s="371"/>
      <c r="IL86" s="371"/>
      <c r="IM86" s="371"/>
      <c r="IN86" s="371"/>
      <c r="IO86" s="371"/>
      <c r="IP86" s="371"/>
      <c r="IQ86" s="371"/>
      <c r="IR86" s="371"/>
      <c r="IS86" s="371"/>
      <c r="IT86" s="371"/>
      <c r="IU86" s="371"/>
      <c r="IV86" s="371"/>
    </row>
    <row r="87" spans="208:256" s="407" customFormat="1" ht="15.75">
      <c r="GZ87" s="371"/>
      <c r="HA87" s="371"/>
      <c r="HB87" s="371"/>
      <c r="HC87" s="371"/>
      <c r="HD87" s="371"/>
      <c r="HE87" s="371"/>
      <c r="HF87" s="371"/>
      <c r="HG87" s="371"/>
      <c r="HH87" s="371"/>
      <c r="HI87" s="371"/>
      <c r="HJ87" s="371"/>
      <c r="HK87" s="371"/>
      <c r="HL87" s="371"/>
      <c r="HM87" s="371"/>
      <c r="HN87" s="371"/>
      <c r="HO87" s="371"/>
      <c r="HP87" s="371"/>
      <c r="HQ87" s="371"/>
      <c r="HR87" s="371"/>
      <c r="HS87" s="371"/>
      <c r="HT87" s="371"/>
      <c r="HU87" s="371"/>
      <c r="HV87" s="371"/>
      <c r="HW87" s="371"/>
      <c r="HX87" s="371"/>
      <c r="HY87" s="371"/>
      <c r="HZ87" s="371"/>
      <c r="IA87" s="371"/>
      <c r="IB87" s="371"/>
      <c r="IC87" s="371"/>
      <c r="ID87" s="371"/>
      <c r="IE87" s="371"/>
      <c r="IF87" s="371"/>
      <c r="IG87" s="371"/>
      <c r="IH87" s="371"/>
      <c r="II87" s="371"/>
      <c r="IJ87" s="371"/>
      <c r="IK87" s="371"/>
      <c r="IL87" s="371"/>
      <c r="IM87" s="371"/>
      <c r="IN87" s="371"/>
      <c r="IO87" s="371"/>
      <c r="IP87" s="371"/>
      <c r="IQ87" s="371"/>
      <c r="IR87" s="371"/>
      <c r="IS87" s="371"/>
      <c r="IT87" s="371"/>
      <c r="IU87" s="371"/>
      <c r="IV87" s="371"/>
    </row>
    <row r="88" spans="208:256" s="407" customFormat="1" ht="15.75">
      <c r="GZ88" s="371"/>
      <c r="HA88" s="371"/>
      <c r="HB88" s="371"/>
      <c r="HC88" s="371"/>
      <c r="HD88" s="371"/>
      <c r="HE88" s="371"/>
      <c r="HF88" s="371"/>
      <c r="HG88" s="371"/>
      <c r="HH88" s="371"/>
      <c r="HI88" s="371"/>
      <c r="HJ88" s="371"/>
      <c r="HK88" s="371"/>
      <c r="HL88" s="371"/>
      <c r="HM88" s="371"/>
      <c r="HN88" s="371"/>
      <c r="HO88" s="371"/>
      <c r="HP88" s="371"/>
      <c r="HQ88" s="371"/>
      <c r="HR88" s="371"/>
      <c r="HS88" s="371"/>
      <c r="HT88" s="371"/>
      <c r="HU88" s="371"/>
      <c r="HV88" s="371"/>
      <c r="HW88" s="371"/>
      <c r="HX88" s="371"/>
      <c r="HY88" s="371"/>
      <c r="HZ88" s="371"/>
      <c r="IA88" s="371"/>
      <c r="IB88" s="371"/>
      <c r="IC88" s="371"/>
      <c r="ID88" s="371"/>
      <c r="IE88" s="371"/>
      <c r="IF88" s="371"/>
      <c r="IG88" s="371"/>
      <c r="IH88" s="371"/>
      <c r="II88" s="371"/>
      <c r="IJ88" s="371"/>
      <c r="IK88" s="371"/>
      <c r="IL88" s="371"/>
      <c r="IM88" s="371"/>
      <c r="IN88" s="371"/>
      <c r="IO88" s="371"/>
      <c r="IP88" s="371"/>
      <c r="IQ88" s="371"/>
      <c r="IR88" s="371"/>
      <c r="IS88" s="371"/>
      <c r="IT88" s="371"/>
      <c r="IU88" s="371"/>
      <c r="IV88" s="371"/>
    </row>
    <row r="89" spans="208:256" s="407" customFormat="1" ht="15.75">
      <c r="GZ89" s="371"/>
      <c r="HA89" s="371"/>
      <c r="HB89" s="371"/>
      <c r="HC89" s="371"/>
      <c r="HD89" s="371"/>
      <c r="HE89" s="371"/>
      <c r="HF89" s="371"/>
      <c r="HG89" s="371"/>
      <c r="HH89" s="371"/>
      <c r="HI89" s="371"/>
      <c r="HJ89" s="371"/>
      <c r="HK89" s="371"/>
      <c r="HL89" s="371"/>
      <c r="HM89" s="371"/>
      <c r="HN89" s="371"/>
      <c r="HO89" s="371"/>
      <c r="HP89" s="371"/>
      <c r="HQ89" s="371"/>
      <c r="HR89" s="371"/>
      <c r="HS89" s="371"/>
      <c r="HT89" s="371"/>
      <c r="HU89" s="371"/>
      <c r="HV89" s="371"/>
      <c r="HW89" s="371"/>
      <c r="HX89" s="371"/>
      <c r="HY89" s="371"/>
      <c r="HZ89" s="371"/>
      <c r="IA89" s="371"/>
      <c r="IB89" s="371"/>
      <c r="IC89" s="371"/>
      <c r="ID89" s="371"/>
      <c r="IE89" s="371"/>
      <c r="IF89" s="371"/>
      <c r="IG89" s="371"/>
      <c r="IH89" s="371"/>
      <c r="II89" s="371"/>
      <c r="IJ89" s="371"/>
      <c r="IK89" s="371"/>
      <c r="IL89" s="371"/>
      <c r="IM89" s="371"/>
      <c r="IN89" s="371"/>
      <c r="IO89" s="371"/>
      <c r="IP89" s="371"/>
      <c r="IQ89" s="371"/>
      <c r="IR89" s="371"/>
      <c r="IS89" s="371"/>
      <c r="IT89" s="371"/>
      <c r="IU89" s="371"/>
      <c r="IV89" s="371"/>
    </row>
    <row r="90" spans="208:256" s="407" customFormat="1" ht="15.75">
      <c r="GZ90" s="371"/>
      <c r="HA90" s="371"/>
      <c r="HB90" s="371"/>
      <c r="HC90" s="371"/>
      <c r="HD90" s="371"/>
      <c r="HE90" s="371"/>
      <c r="HF90" s="371"/>
      <c r="HG90" s="371"/>
      <c r="HH90" s="371"/>
      <c r="HI90" s="371"/>
      <c r="HJ90" s="371"/>
      <c r="HK90" s="371"/>
      <c r="HL90" s="371"/>
      <c r="HM90" s="371"/>
      <c r="HN90" s="371"/>
      <c r="HO90" s="371"/>
      <c r="HP90" s="371"/>
      <c r="HQ90" s="371"/>
      <c r="HR90" s="371"/>
      <c r="HS90" s="371"/>
      <c r="HT90" s="371"/>
      <c r="HU90" s="371"/>
      <c r="HV90" s="371"/>
      <c r="HW90" s="371"/>
      <c r="HX90" s="371"/>
      <c r="HY90" s="371"/>
      <c r="HZ90" s="371"/>
      <c r="IA90" s="371"/>
      <c r="IB90" s="371"/>
      <c r="IC90" s="371"/>
      <c r="ID90" s="371"/>
      <c r="IE90" s="371"/>
      <c r="IF90" s="371"/>
      <c r="IG90" s="371"/>
      <c r="IH90" s="371"/>
      <c r="II90" s="371"/>
      <c r="IJ90" s="371"/>
      <c r="IK90" s="371"/>
      <c r="IL90" s="371"/>
      <c r="IM90" s="371"/>
      <c r="IN90" s="371"/>
      <c r="IO90" s="371"/>
      <c r="IP90" s="371"/>
      <c r="IQ90" s="371"/>
      <c r="IR90" s="371"/>
      <c r="IS90" s="371"/>
      <c r="IT90" s="371"/>
      <c r="IU90" s="371"/>
      <c r="IV90" s="371"/>
    </row>
    <row r="91" spans="208:256" s="407" customFormat="1" ht="15.75">
      <c r="GZ91" s="371"/>
      <c r="HA91" s="371"/>
      <c r="HB91" s="371"/>
      <c r="HC91" s="371"/>
      <c r="HD91" s="371"/>
      <c r="HE91" s="371"/>
      <c r="HF91" s="371"/>
      <c r="HG91" s="371"/>
      <c r="HH91" s="371"/>
      <c r="HI91" s="371"/>
      <c r="HJ91" s="371"/>
      <c r="HK91" s="371"/>
      <c r="HL91" s="371"/>
      <c r="HM91" s="371"/>
      <c r="HN91" s="371"/>
      <c r="HO91" s="371"/>
      <c r="HP91" s="371"/>
      <c r="HQ91" s="371"/>
      <c r="HR91" s="371"/>
      <c r="HS91" s="371"/>
      <c r="HT91" s="371"/>
      <c r="HU91" s="371"/>
      <c r="HV91" s="371"/>
      <c r="HW91" s="371"/>
      <c r="HX91" s="371"/>
      <c r="HY91" s="371"/>
      <c r="HZ91" s="371"/>
      <c r="IA91" s="371"/>
      <c r="IB91" s="371"/>
      <c r="IC91" s="371"/>
      <c r="ID91" s="371"/>
      <c r="IE91" s="371"/>
      <c r="IF91" s="371"/>
      <c r="IG91" s="371"/>
      <c r="IH91" s="371"/>
      <c r="II91" s="371"/>
      <c r="IJ91" s="371"/>
      <c r="IK91" s="371"/>
      <c r="IL91" s="371"/>
      <c r="IM91" s="371"/>
      <c r="IN91" s="371"/>
      <c r="IO91" s="371"/>
      <c r="IP91" s="371"/>
      <c r="IQ91" s="371"/>
      <c r="IR91" s="371"/>
      <c r="IS91" s="371"/>
      <c r="IT91" s="371"/>
      <c r="IU91" s="371"/>
      <c r="IV91" s="371"/>
    </row>
    <row r="92" spans="208:256" s="407" customFormat="1" ht="15.75">
      <c r="GZ92" s="371"/>
      <c r="HA92" s="371"/>
      <c r="HB92" s="371"/>
      <c r="HC92" s="371"/>
      <c r="HD92" s="371"/>
      <c r="HE92" s="371"/>
      <c r="HF92" s="371"/>
      <c r="HG92" s="371"/>
      <c r="HH92" s="371"/>
      <c r="HI92" s="371"/>
      <c r="HJ92" s="371"/>
      <c r="HK92" s="371"/>
      <c r="HL92" s="371"/>
      <c r="HM92" s="371"/>
      <c r="HN92" s="371"/>
      <c r="HO92" s="371"/>
      <c r="HP92" s="371"/>
      <c r="HQ92" s="371"/>
      <c r="HR92" s="371"/>
      <c r="HS92" s="371"/>
      <c r="HT92" s="371"/>
      <c r="HU92" s="371"/>
      <c r="HV92" s="371"/>
      <c r="HW92" s="371"/>
      <c r="HX92" s="371"/>
      <c r="HY92" s="371"/>
      <c r="HZ92" s="371"/>
      <c r="IA92" s="371"/>
      <c r="IB92" s="371"/>
      <c r="IC92" s="371"/>
      <c r="ID92" s="371"/>
      <c r="IE92" s="371"/>
      <c r="IF92" s="371"/>
      <c r="IG92" s="371"/>
      <c r="IH92" s="371"/>
      <c r="II92" s="371"/>
      <c r="IJ92" s="371"/>
      <c r="IK92" s="371"/>
      <c r="IL92" s="371"/>
      <c r="IM92" s="371"/>
      <c r="IN92" s="371"/>
      <c r="IO92" s="371"/>
      <c r="IP92" s="371"/>
      <c r="IQ92" s="371"/>
      <c r="IR92" s="371"/>
      <c r="IS92" s="371"/>
      <c r="IT92" s="371"/>
      <c r="IU92" s="371"/>
      <c r="IV92" s="371"/>
    </row>
    <row r="93" spans="208:256" s="407" customFormat="1" ht="15.75">
      <c r="GZ93" s="371"/>
      <c r="HA93" s="371"/>
      <c r="HB93" s="371"/>
      <c r="HC93" s="371"/>
      <c r="HD93" s="371"/>
      <c r="HE93" s="371"/>
      <c r="HF93" s="371"/>
      <c r="HG93" s="371"/>
      <c r="HH93" s="371"/>
      <c r="HI93" s="371"/>
      <c r="HJ93" s="371"/>
      <c r="HK93" s="371"/>
      <c r="HL93" s="371"/>
      <c r="HM93" s="371"/>
      <c r="HN93" s="371"/>
      <c r="HO93" s="371"/>
      <c r="HP93" s="371"/>
      <c r="HQ93" s="371"/>
      <c r="HR93" s="371"/>
      <c r="HS93" s="371"/>
      <c r="HT93" s="371"/>
      <c r="HU93" s="371"/>
      <c r="HV93" s="371"/>
      <c r="HW93" s="371"/>
      <c r="HX93" s="371"/>
      <c r="HY93" s="371"/>
      <c r="HZ93" s="371"/>
      <c r="IA93" s="371"/>
      <c r="IB93" s="371"/>
      <c r="IC93" s="371"/>
      <c r="ID93" s="371"/>
      <c r="IE93" s="371"/>
      <c r="IF93" s="371"/>
      <c r="IG93" s="371"/>
      <c r="IH93" s="371"/>
      <c r="II93" s="371"/>
      <c r="IJ93" s="371"/>
      <c r="IK93" s="371"/>
      <c r="IL93" s="371"/>
      <c r="IM93" s="371"/>
      <c r="IN93" s="371"/>
      <c r="IO93" s="371"/>
      <c r="IP93" s="371"/>
      <c r="IQ93" s="371"/>
      <c r="IR93" s="371"/>
      <c r="IS93" s="371"/>
      <c r="IT93" s="371"/>
      <c r="IU93" s="371"/>
      <c r="IV93" s="371"/>
    </row>
    <row r="94" spans="208:256" s="407" customFormat="1" ht="15.75">
      <c r="GZ94" s="371"/>
      <c r="HA94" s="371"/>
      <c r="HB94" s="371"/>
      <c r="HC94" s="371"/>
      <c r="HD94" s="371"/>
      <c r="HE94" s="371"/>
      <c r="HF94" s="371"/>
      <c r="HG94" s="371"/>
      <c r="HH94" s="371"/>
      <c r="HI94" s="371"/>
      <c r="HJ94" s="371"/>
      <c r="HK94" s="371"/>
      <c r="HL94" s="371"/>
      <c r="HM94" s="371"/>
      <c r="HN94" s="371"/>
      <c r="HO94" s="371"/>
      <c r="HP94" s="371"/>
      <c r="HQ94" s="371"/>
      <c r="HR94" s="371"/>
      <c r="HS94" s="371"/>
      <c r="HT94" s="371"/>
      <c r="HU94" s="371"/>
      <c r="HV94" s="371"/>
      <c r="HW94" s="371"/>
      <c r="HX94" s="371"/>
      <c r="HY94" s="371"/>
      <c r="HZ94" s="371"/>
      <c r="IA94" s="371"/>
      <c r="IB94" s="371"/>
      <c r="IC94" s="371"/>
      <c r="ID94" s="371"/>
      <c r="IE94" s="371"/>
      <c r="IF94" s="371"/>
      <c r="IG94" s="371"/>
      <c r="IH94" s="371"/>
      <c r="II94" s="371"/>
      <c r="IJ94" s="371"/>
      <c r="IK94" s="371"/>
      <c r="IL94" s="371"/>
      <c r="IM94" s="371"/>
      <c r="IN94" s="371"/>
      <c r="IO94" s="371"/>
      <c r="IP94" s="371"/>
      <c r="IQ94" s="371"/>
      <c r="IR94" s="371"/>
      <c r="IS94" s="371"/>
      <c r="IT94" s="371"/>
      <c r="IU94" s="371"/>
      <c r="IV94" s="371"/>
    </row>
    <row r="95" spans="208:256" s="407" customFormat="1" ht="15.75">
      <c r="GZ95" s="371"/>
      <c r="HA95" s="371"/>
      <c r="HB95" s="371"/>
      <c r="HC95" s="371"/>
      <c r="HD95" s="371"/>
      <c r="HE95" s="371"/>
      <c r="HF95" s="371"/>
      <c r="HG95" s="371"/>
      <c r="HH95" s="371"/>
      <c r="HI95" s="371"/>
      <c r="HJ95" s="371"/>
      <c r="HK95" s="371"/>
      <c r="HL95" s="371"/>
      <c r="HM95" s="371"/>
      <c r="HN95" s="371"/>
      <c r="HO95" s="371"/>
      <c r="HP95" s="371"/>
      <c r="HQ95" s="371"/>
      <c r="HR95" s="371"/>
      <c r="HS95" s="371"/>
      <c r="HT95" s="371"/>
      <c r="HU95" s="371"/>
      <c r="HV95" s="371"/>
      <c r="HW95" s="371"/>
      <c r="HX95" s="371"/>
      <c r="HY95" s="371"/>
      <c r="HZ95" s="371"/>
      <c r="IA95" s="371"/>
      <c r="IB95" s="371"/>
      <c r="IC95" s="371"/>
      <c r="ID95" s="371"/>
      <c r="IE95" s="371"/>
      <c r="IF95" s="371"/>
      <c r="IG95" s="371"/>
      <c r="IH95" s="371"/>
      <c r="II95" s="371"/>
      <c r="IJ95" s="371"/>
      <c r="IK95" s="371"/>
      <c r="IL95" s="371"/>
      <c r="IM95" s="371"/>
      <c r="IN95" s="371"/>
      <c r="IO95" s="371"/>
      <c r="IP95" s="371"/>
      <c r="IQ95" s="371"/>
      <c r="IR95" s="371"/>
      <c r="IS95" s="371"/>
      <c r="IT95" s="371"/>
      <c r="IU95" s="371"/>
      <c r="IV95" s="371"/>
    </row>
    <row r="96" spans="208:256" s="407" customFormat="1" ht="15.75">
      <c r="GZ96" s="371"/>
      <c r="HA96" s="371"/>
      <c r="HB96" s="371"/>
      <c r="HC96" s="371"/>
      <c r="HD96" s="371"/>
      <c r="HE96" s="371"/>
      <c r="HF96" s="371"/>
      <c r="HG96" s="371"/>
      <c r="HH96" s="371"/>
      <c r="HI96" s="371"/>
      <c r="HJ96" s="371"/>
      <c r="HK96" s="371"/>
      <c r="HL96" s="371"/>
      <c r="HM96" s="371"/>
      <c r="HN96" s="371"/>
      <c r="HO96" s="371"/>
      <c r="HP96" s="371"/>
      <c r="HQ96" s="371"/>
      <c r="HR96" s="371"/>
      <c r="HS96" s="371"/>
      <c r="HT96" s="371"/>
      <c r="HU96" s="371"/>
      <c r="HV96" s="371"/>
      <c r="HW96" s="371"/>
      <c r="HX96" s="371"/>
      <c r="HY96" s="371"/>
      <c r="HZ96" s="371"/>
      <c r="IA96" s="371"/>
      <c r="IB96" s="371"/>
      <c r="IC96" s="371"/>
      <c r="ID96" s="371"/>
      <c r="IE96" s="371"/>
      <c r="IF96" s="371"/>
      <c r="IG96" s="371"/>
      <c r="IH96" s="371"/>
      <c r="II96" s="371"/>
      <c r="IJ96" s="371"/>
      <c r="IK96" s="371"/>
      <c r="IL96" s="371"/>
      <c r="IM96" s="371"/>
      <c r="IN96" s="371"/>
      <c r="IO96" s="371"/>
      <c r="IP96" s="371"/>
      <c r="IQ96" s="371"/>
      <c r="IR96" s="371"/>
      <c r="IS96" s="371"/>
      <c r="IT96" s="371"/>
      <c r="IU96" s="371"/>
      <c r="IV96" s="371"/>
    </row>
    <row r="97" spans="208:256" s="407" customFormat="1" ht="15.75">
      <c r="GZ97" s="371"/>
      <c r="HA97" s="371"/>
      <c r="HB97" s="371"/>
      <c r="HC97" s="371"/>
      <c r="HD97" s="371"/>
      <c r="HE97" s="371"/>
      <c r="HF97" s="371"/>
      <c r="HG97" s="371"/>
      <c r="HH97" s="371"/>
      <c r="HI97" s="371"/>
      <c r="HJ97" s="371"/>
      <c r="HK97" s="371"/>
      <c r="HL97" s="371"/>
      <c r="HM97" s="371"/>
      <c r="HN97" s="371"/>
      <c r="HO97" s="371"/>
      <c r="HP97" s="371"/>
      <c r="HQ97" s="371"/>
      <c r="HR97" s="371"/>
      <c r="HS97" s="371"/>
      <c r="HT97" s="371"/>
      <c r="HU97" s="371"/>
      <c r="HV97" s="371"/>
      <c r="HW97" s="371"/>
      <c r="HX97" s="371"/>
      <c r="HY97" s="371"/>
      <c r="HZ97" s="371"/>
      <c r="IA97" s="371"/>
      <c r="IB97" s="371"/>
      <c r="IC97" s="371"/>
      <c r="ID97" s="371"/>
      <c r="IE97" s="371"/>
      <c r="IF97" s="371"/>
      <c r="IG97" s="371"/>
      <c r="IH97" s="371"/>
      <c r="II97" s="371"/>
      <c r="IJ97" s="371"/>
      <c r="IK97" s="371"/>
      <c r="IL97" s="371"/>
      <c r="IM97" s="371"/>
      <c r="IN97" s="371"/>
      <c r="IO97" s="371"/>
      <c r="IP97" s="371"/>
      <c r="IQ97" s="371"/>
      <c r="IR97" s="371"/>
      <c r="IS97" s="371"/>
      <c r="IT97" s="371"/>
      <c r="IU97" s="371"/>
      <c r="IV97" s="371"/>
    </row>
    <row r="98" spans="208:256" s="407" customFormat="1" ht="15.75">
      <c r="GZ98" s="371"/>
      <c r="HA98" s="371"/>
      <c r="HB98" s="371"/>
      <c r="HC98" s="371"/>
      <c r="HD98" s="371"/>
      <c r="HE98" s="371"/>
      <c r="HF98" s="371"/>
      <c r="HG98" s="371"/>
      <c r="HH98" s="371"/>
      <c r="HI98" s="371"/>
      <c r="HJ98" s="371"/>
      <c r="HK98" s="371"/>
      <c r="HL98" s="371"/>
      <c r="HM98" s="371"/>
      <c r="HN98" s="371"/>
      <c r="HO98" s="371"/>
      <c r="HP98" s="371"/>
      <c r="HQ98" s="371"/>
      <c r="HR98" s="371"/>
      <c r="HS98" s="371"/>
      <c r="HT98" s="371"/>
      <c r="HU98" s="371"/>
      <c r="HV98" s="371"/>
      <c r="HW98" s="371"/>
      <c r="HX98" s="371"/>
      <c r="HY98" s="371"/>
      <c r="HZ98" s="371"/>
      <c r="IA98" s="371"/>
      <c r="IB98" s="371"/>
      <c r="IC98" s="371"/>
      <c r="ID98" s="371"/>
      <c r="IE98" s="371"/>
      <c r="IF98" s="371"/>
      <c r="IG98" s="371"/>
      <c r="IH98" s="371"/>
      <c r="II98" s="371"/>
      <c r="IJ98" s="371"/>
      <c r="IK98" s="371"/>
      <c r="IL98" s="371"/>
      <c r="IM98" s="371"/>
      <c r="IN98" s="371"/>
      <c r="IO98" s="371"/>
      <c r="IP98" s="371"/>
      <c r="IQ98" s="371"/>
      <c r="IR98" s="371"/>
      <c r="IS98" s="371"/>
      <c r="IT98" s="371"/>
      <c r="IU98" s="371"/>
      <c r="IV98" s="371"/>
    </row>
    <row r="99" spans="208:256" s="407" customFormat="1" ht="15.75">
      <c r="GZ99" s="371"/>
      <c r="HA99" s="371"/>
      <c r="HB99" s="371"/>
      <c r="HC99" s="371"/>
      <c r="HD99" s="371"/>
      <c r="HE99" s="371"/>
      <c r="HF99" s="371"/>
      <c r="HG99" s="371"/>
      <c r="HH99" s="371"/>
      <c r="HI99" s="371"/>
      <c r="HJ99" s="371"/>
      <c r="HK99" s="371"/>
      <c r="HL99" s="371"/>
      <c r="HM99" s="371"/>
      <c r="HN99" s="371"/>
      <c r="HO99" s="371"/>
      <c r="HP99" s="371"/>
      <c r="HQ99" s="371"/>
      <c r="HR99" s="371"/>
      <c r="HS99" s="371"/>
      <c r="HT99" s="371"/>
      <c r="HU99" s="371"/>
      <c r="HV99" s="371"/>
      <c r="HW99" s="371"/>
      <c r="HX99" s="371"/>
      <c r="HY99" s="371"/>
      <c r="HZ99" s="371"/>
      <c r="IA99" s="371"/>
      <c r="IB99" s="371"/>
      <c r="IC99" s="371"/>
      <c r="ID99" s="371"/>
      <c r="IE99" s="371"/>
      <c r="IF99" s="371"/>
      <c r="IG99" s="371"/>
      <c r="IH99" s="371"/>
      <c r="II99" s="371"/>
      <c r="IJ99" s="371"/>
      <c r="IK99" s="371"/>
      <c r="IL99" s="371"/>
      <c r="IM99" s="371"/>
      <c r="IN99" s="371"/>
      <c r="IO99" s="371"/>
      <c r="IP99" s="371"/>
      <c r="IQ99" s="371"/>
      <c r="IR99" s="371"/>
      <c r="IS99" s="371"/>
      <c r="IT99" s="371"/>
      <c r="IU99" s="371"/>
      <c r="IV99" s="371"/>
    </row>
    <row r="100" spans="208:256" s="407" customFormat="1" ht="15.75">
      <c r="GZ100" s="371"/>
      <c r="HA100" s="371"/>
      <c r="HB100" s="371"/>
      <c r="HC100" s="371"/>
      <c r="HD100" s="371"/>
      <c r="HE100" s="371"/>
      <c r="HF100" s="371"/>
      <c r="HG100" s="371"/>
      <c r="HH100" s="371"/>
      <c r="HI100" s="371"/>
      <c r="HJ100" s="371"/>
      <c r="HK100" s="371"/>
      <c r="HL100" s="371"/>
      <c r="HM100" s="371"/>
      <c r="HN100" s="371"/>
      <c r="HO100" s="371"/>
      <c r="HP100" s="371"/>
      <c r="HQ100" s="371"/>
      <c r="HR100" s="371"/>
      <c r="HS100" s="371"/>
      <c r="HT100" s="371"/>
      <c r="HU100" s="371"/>
      <c r="HV100" s="371"/>
      <c r="HW100" s="371"/>
      <c r="HX100" s="371"/>
      <c r="HY100" s="371"/>
      <c r="HZ100" s="371"/>
      <c r="IA100" s="371"/>
      <c r="IB100" s="371"/>
      <c r="IC100" s="371"/>
      <c r="ID100" s="371"/>
      <c r="IE100" s="371"/>
      <c r="IF100" s="371"/>
      <c r="IG100" s="371"/>
      <c r="IH100" s="371"/>
      <c r="II100" s="371"/>
      <c r="IJ100" s="371"/>
      <c r="IK100" s="371"/>
      <c r="IL100" s="371"/>
      <c r="IM100" s="371"/>
      <c r="IN100" s="371"/>
      <c r="IO100" s="371"/>
      <c r="IP100" s="371"/>
      <c r="IQ100" s="371"/>
      <c r="IR100" s="371"/>
      <c r="IS100" s="371"/>
      <c r="IT100" s="371"/>
      <c r="IU100" s="371"/>
      <c r="IV100" s="371"/>
    </row>
    <row r="101" spans="208:256" s="407" customFormat="1" ht="15.75">
      <c r="GZ101" s="371"/>
      <c r="HA101" s="371"/>
      <c r="HB101" s="371"/>
      <c r="HC101" s="371"/>
      <c r="HD101" s="371"/>
      <c r="HE101" s="371"/>
      <c r="HF101" s="371"/>
      <c r="HG101" s="371"/>
      <c r="HH101" s="371"/>
      <c r="HI101" s="371"/>
      <c r="HJ101" s="371"/>
      <c r="HK101" s="371"/>
      <c r="HL101" s="371"/>
      <c r="HM101" s="371"/>
      <c r="HN101" s="371"/>
      <c r="HO101" s="371"/>
      <c r="HP101" s="371"/>
      <c r="HQ101" s="371"/>
      <c r="HR101" s="371"/>
      <c r="HS101" s="371"/>
      <c r="HT101" s="371"/>
      <c r="HU101" s="371"/>
      <c r="HV101" s="371"/>
      <c r="HW101" s="371"/>
      <c r="HX101" s="371"/>
      <c r="HY101" s="371"/>
      <c r="HZ101" s="371"/>
      <c r="IA101" s="371"/>
      <c r="IB101" s="371"/>
      <c r="IC101" s="371"/>
      <c r="ID101" s="371"/>
      <c r="IE101" s="371"/>
      <c r="IF101" s="371"/>
      <c r="IG101" s="371"/>
      <c r="IH101" s="371"/>
      <c r="II101" s="371"/>
      <c r="IJ101" s="371"/>
      <c r="IK101" s="371"/>
      <c r="IL101" s="371"/>
      <c r="IM101" s="371"/>
      <c r="IN101" s="371"/>
      <c r="IO101" s="371"/>
      <c r="IP101" s="371"/>
      <c r="IQ101" s="371"/>
      <c r="IR101" s="371"/>
      <c r="IS101" s="371"/>
      <c r="IT101" s="371"/>
      <c r="IU101" s="371"/>
      <c r="IV101" s="371"/>
    </row>
    <row r="102" spans="208:256" s="407" customFormat="1" ht="15.75">
      <c r="GZ102" s="371"/>
      <c r="HA102" s="371"/>
      <c r="HB102" s="371"/>
      <c r="HC102" s="371"/>
      <c r="HD102" s="371"/>
      <c r="HE102" s="371"/>
      <c r="HF102" s="371"/>
      <c r="HG102" s="371"/>
      <c r="HH102" s="371"/>
      <c r="HI102" s="371"/>
      <c r="HJ102" s="371"/>
      <c r="HK102" s="371"/>
      <c r="HL102" s="371"/>
      <c r="HM102" s="371"/>
      <c r="HN102" s="371"/>
      <c r="HO102" s="371"/>
      <c r="HP102" s="371"/>
      <c r="HQ102" s="371"/>
      <c r="HR102" s="371"/>
      <c r="HS102" s="371"/>
      <c r="HT102" s="371"/>
      <c r="HU102" s="371"/>
      <c r="HV102" s="371"/>
      <c r="HW102" s="371"/>
      <c r="HX102" s="371"/>
      <c r="HY102" s="371"/>
      <c r="HZ102" s="371"/>
      <c r="IA102" s="371"/>
      <c r="IB102" s="371"/>
      <c r="IC102" s="371"/>
      <c r="ID102" s="371"/>
      <c r="IE102" s="371"/>
      <c r="IF102" s="371"/>
      <c r="IG102" s="371"/>
      <c r="IH102" s="371"/>
      <c r="II102" s="371"/>
      <c r="IJ102" s="371"/>
      <c r="IK102" s="371"/>
      <c r="IL102" s="371"/>
      <c r="IM102" s="371"/>
      <c r="IN102" s="371"/>
      <c r="IO102" s="371"/>
      <c r="IP102" s="371"/>
      <c r="IQ102" s="371"/>
      <c r="IR102" s="371"/>
      <c r="IS102" s="371"/>
      <c r="IT102" s="371"/>
      <c r="IU102" s="371"/>
      <c r="IV102" s="371"/>
    </row>
    <row r="103" spans="208:256" s="407" customFormat="1" ht="15.75">
      <c r="GZ103" s="371"/>
      <c r="HA103" s="371"/>
      <c r="HB103" s="371"/>
      <c r="HC103" s="371"/>
      <c r="HD103" s="371"/>
      <c r="HE103" s="371"/>
      <c r="HF103" s="371"/>
      <c r="HG103" s="371"/>
      <c r="HH103" s="371"/>
      <c r="HI103" s="371"/>
      <c r="HJ103" s="371"/>
      <c r="HK103" s="371"/>
      <c r="HL103" s="371"/>
      <c r="HM103" s="371"/>
      <c r="HN103" s="371"/>
      <c r="HO103" s="371"/>
      <c r="HP103" s="371"/>
      <c r="HQ103" s="371"/>
      <c r="HR103" s="371"/>
      <c r="HS103" s="371"/>
      <c r="HT103" s="371"/>
      <c r="HU103" s="371"/>
      <c r="HV103" s="371"/>
      <c r="HW103" s="371"/>
      <c r="HX103" s="371"/>
      <c r="HY103" s="371"/>
      <c r="HZ103" s="371"/>
      <c r="IA103" s="371"/>
      <c r="IB103" s="371"/>
      <c r="IC103" s="371"/>
      <c r="ID103" s="371"/>
      <c r="IE103" s="371"/>
      <c r="IF103" s="371"/>
      <c r="IG103" s="371"/>
      <c r="IH103" s="371"/>
      <c r="II103" s="371"/>
      <c r="IJ103" s="371"/>
      <c r="IK103" s="371"/>
      <c r="IL103" s="371"/>
      <c r="IM103" s="371"/>
      <c r="IN103" s="371"/>
      <c r="IO103" s="371"/>
      <c r="IP103" s="371"/>
      <c r="IQ103" s="371"/>
      <c r="IR103" s="371"/>
      <c r="IS103" s="371"/>
      <c r="IT103" s="371"/>
      <c r="IU103" s="371"/>
      <c r="IV103" s="371"/>
    </row>
    <row r="104" spans="208:256" s="407" customFormat="1" ht="15.75">
      <c r="GZ104" s="371"/>
      <c r="HA104" s="371"/>
      <c r="HB104" s="371"/>
      <c r="HC104" s="371"/>
      <c r="HD104" s="371"/>
      <c r="HE104" s="371"/>
      <c r="HF104" s="371"/>
      <c r="HG104" s="371"/>
      <c r="HH104" s="371"/>
      <c r="HI104" s="371"/>
      <c r="HJ104" s="371"/>
      <c r="HK104" s="371"/>
      <c r="HL104" s="371"/>
      <c r="HM104" s="371"/>
      <c r="HN104" s="371"/>
      <c r="HO104" s="371"/>
      <c r="HP104" s="371"/>
      <c r="HQ104" s="371"/>
      <c r="HR104" s="371"/>
      <c r="HS104" s="371"/>
      <c r="HT104" s="371"/>
      <c r="HU104" s="371"/>
      <c r="HV104" s="371"/>
      <c r="HW104" s="371"/>
      <c r="HX104" s="371"/>
      <c r="HY104" s="371"/>
      <c r="HZ104" s="371"/>
      <c r="IA104" s="371"/>
      <c r="IB104" s="371"/>
      <c r="IC104" s="371"/>
      <c r="ID104" s="371"/>
      <c r="IE104" s="371"/>
      <c r="IF104" s="371"/>
      <c r="IG104" s="371"/>
      <c r="IH104" s="371"/>
      <c r="II104" s="371"/>
      <c r="IJ104" s="371"/>
      <c r="IK104" s="371"/>
      <c r="IL104" s="371"/>
      <c r="IM104" s="371"/>
      <c r="IN104" s="371"/>
      <c r="IO104" s="371"/>
      <c r="IP104" s="371"/>
      <c r="IQ104" s="371"/>
      <c r="IR104" s="371"/>
      <c r="IS104" s="371"/>
      <c r="IT104" s="371"/>
      <c r="IU104" s="371"/>
      <c r="IV104" s="371"/>
    </row>
    <row r="105" spans="208:256" s="407" customFormat="1" ht="15.75">
      <c r="GZ105" s="371"/>
      <c r="HA105" s="371"/>
      <c r="HB105" s="371"/>
      <c r="HC105" s="371"/>
      <c r="HD105" s="371"/>
      <c r="HE105" s="371"/>
      <c r="HF105" s="371"/>
      <c r="HG105" s="371"/>
      <c r="HH105" s="371"/>
      <c r="HI105" s="371"/>
      <c r="HJ105" s="371"/>
      <c r="HK105" s="371"/>
      <c r="HL105" s="371"/>
      <c r="HM105" s="371"/>
      <c r="HN105" s="371"/>
      <c r="HO105" s="371"/>
      <c r="HP105" s="371"/>
      <c r="HQ105" s="371"/>
      <c r="HR105" s="371"/>
      <c r="HS105" s="371"/>
      <c r="HT105" s="371"/>
      <c r="HU105" s="371"/>
      <c r="HV105" s="371"/>
      <c r="HW105" s="371"/>
      <c r="HX105" s="371"/>
      <c r="HY105" s="371"/>
      <c r="HZ105" s="371"/>
      <c r="IA105" s="371"/>
      <c r="IB105" s="371"/>
      <c r="IC105" s="371"/>
      <c r="ID105" s="371"/>
      <c r="IE105" s="371"/>
      <c r="IF105" s="371"/>
      <c r="IG105" s="371"/>
      <c r="IH105" s="371"/>
      <c r="II105" s="371"/>
      <c r="IJ105" s="371"/>
      <c r="IK105" s="371"/>
      <c r="IL105" s="371"/>
      <c r="IM105" s="371"/>
      <c r="IN105" s="371"/>
      <c r="IO105" s="371"/>
      <c r="IP105" s="371"/>
      <c r="IQ105" s="371"/>
      <c r="IR105" s="371"/>
      <c r="IS105" s="371"/>
      <c r="IT105" s="371"/>
      <c r="IU105" s="371"/>
      <c r="IV105" s="371"/>
    </row>
    <row r="106" spans="208:256" s="407" customFormat="1" ht="15.75">
      <c r="GZ106" s="371"/>
      <c r="HA106" s="371"/>
      <c r="HB106" s="371"/>
      <c r="HC106" s="371"/>
      <c r="HD106" s="371"/>
      <c r="HE106" s="371"/>
      <c r="HF106" s="371"/>
      <c r="HG106" s="371"/>
      <c r="HH106" s="371"/>
      <c r="HI106" s="371"/>
      <c r="HJ106" s="371"/>
      <c r="HK106" s="371"/>
      <c r="HL106" s="371"/>
      <c r="HM106" s="371"/>
      <c r="HN106" s="371"/>
      <c r="HO106" s="371"/>
      <c r="HP106" s="371"/>
      <c r="HQ106" s="371"/>
      <c r="HR106" s="371"/>
      <c r="HS106" s="371"/>
      <c r="HT106" s="371"/>
      <c r="HU106" s="371"/>
      <c r="HV106" s="371"/>
      <c r="HW106" s="371"/>
      <c r="HX106" s="371"/>
      <c r="HY106" s="371"/>
      <c r="HZ106" s="371"/>
      <c r="IA106" s="371"/>
      <c r="IB106" s="371"/>
      <c r="IC106" s="371"/>
      <c r="ID106" s="371"/>
      <c r="IE106" s="371"/>
      <c r="IF106" s="371"/>
      <c r="IG106" s="371"/>
      <c r="IH106" s="371"/>
      <c r="II106" s="371"/>
      <c r="IJ106" s="371"/>
      <c r="IK106" s="371"/>
      <c r="IL106" s="371"/>
      <c r="IM106" s="371"/>
      <c r="IN106" s="371"/>
      <c r="IO106" s="371"/>
      <c r="IP106" s="371"/>
      <c r="IQ106" s="371"/>
      <c r="IR106" s="371"/>
      <c r="IS106" s="371"/>
      <c r="IT106" s="371"/>
      <c r="IU106" s="371"/>
      <c r="IV106" s="371"/>
    </row>
    <row r="107" spans="208:256" s="407" customFormat="1" ht="15.75">
      <c r="GZ107" s="371"/>
      <c r="HA107" s="371"/>
      <c r="HB107" s="371"/>
      <c r="HC107" s="371"/>
      <c r="HD107" s="371"/>
      <c r="HE107" s="371"/>
      <c r="HF107" s="371"/>
      <c r="HG107" s="371"/>
      <c r="HH107" s="371"/>
      <c r="HI107" s="371"/>
      <c r="HJ107" s="371"/>
      <c r="HK107" s="371"/>
      <c r="HL107" s="371"/>
      <c r="HM107" s="371"/>
      <c r="HN107" s="371"/>
      <c r="HO107" s="371"/>
      <c r="HP107" s="371"/>
      <c r="HQ107" s="371"/>
      <c r="HR107" s="371"/>
      <c r="HS107" s="371"/>
      <c r="HT107" s="371"/>
      <c r="HU107" s="371"/>
      <c r="HV107" s="371"/>
      <c r="HW107" s="371"/>
      <c r="HX107" s="371"/>
      <c r="HY107" s="371"/>
      <c r="HZ107" s="371"/>
      <c r="IA107" s="371"/>
      <c r="IB107" s="371"/>
      <c r="IC107" s="371"/>
      <c r="ID107" s="371"/>
      <c r="IE107" s="371"/>
      <c r="IF107" s="371"/>
      <c r="IG107" s="371"/>
      <c r="IH107" s="371"/>
      <c r="II107" s="371"/>
      <c r="IJ107" s="371"/>
      <c r="IK107" s="371"/>
      <c r="IL107" s="371"/>
      <c r="IM107" s="371"/>
      <c r="IN107" s="371"/>
      <c r="IO107" s="371"/>
      <c r="IP107" s="371"/>
      <c r="IQ107" s="371"/>
      <c r="IR107" s="371"/>
      <c r="IS107" s="371"/>
      <c r="IT107" s="371"/>
      <c r="IU107" s="371"/>
      <c r="IV107" s="371"/>
    </row>
    <row r="108" spans="208:256" s="407" customFormat="1" ht="15.75">
      <c r="GZ108" s="371"/>
      <c r="HA108" s="371"/>
      <c r="HB108" s="371"/>
      <c r="HC108" s="371"/>
      <c r="HD108" s="371"/>
      <c r="HE108" s="371"/>
      <c r="HF108" s="371"/>
      <c r="HG108" s="371"/>
      <c r="HH108" s="371"/>
      <c r="HI108" s="371"/>
      <c r="HJ108" s="371"/>
      <c r="HK108" s="371"/>
      <c r="HL108" s="371"/>
      <c r="HM108" s="371"/>
      <c r="HN108" s="371"/>
      <c r="HO108" s="371"/>
      <c r="HP108" s="371"/>
      <c r="HQ108" s="371"/>
      <c r="HR108" s="371"/>
      <c r="HS108" s="371"/>
      <c r="HT108" s="371"/>
      <c r="HU108" s="371"/>
      <c r="HV108" s="371"/>
      <c r="HW108" s="371"/>
      <c r="HX108" s="371"/>
      <c r="HY108" s="371"/>
      <c r="HZ108" s="371"/>
      <c r="IA108" s="371"/>
      <c r="IB108" s="371"/>
      <c r="IC108" s="371"/>
      <c r="ID108" s="371"/>
      <c r="IE108" s="371"/>
      <c r="IF108" s="371"/>
      <c r="IG108" s="371"/>
      <c r="IH108" s="371"/>
      <c r="II108" s="371"/>
      <c r="IJ108" s="371"/>
      <c r="IK108" s="371"/>
      <c r="IL108" s="371"/>
      <c r="IM108" s="371"/>
      <c r="IN108" s="371"/>
      <c r="IO108" s="371"/>
      <c r="IP108" s="371"/>
      <c r="IQ108" s="371"/>
      <c r="IR108" s="371"/>
      <c r="IS108" s="371"/>
      <c r="IT108" s="371"/>
      <c r="IU108" s="371"/>
      <c r="IV108" s="371"/>
    </row>
    <row r="109" spans="208:256" s="407" customFormat="1" ht="15.75">
      <c r="GZ109" s="371"/>
      <c r="HA109" s="371"/>
      <c r="HB109" s="371"/>
      <c r="HC109" s="371"/>
      <c r="HD109" s="371"/>
      <c r="HE109" s="371"/>
      <c r="HF109" s="371"/>
      <c r="HG109" s="371"/>
      <c r="HH109" s="371"/>
      <c r="HI109" s="371"/>
      <c r="HJ109" s="371"/>
      <c r="HK109" s="371"/>
      <c r="HL109" s="371"/>
      <c r="HM109" s="371"/>
      <c r="HN109" s="371"/>
      <c r="HO109" s="371"/>
      <c r="HP109" s="371"/>
      <c r="HQ109" s="371"/>
      <c r="HR109" s="371"/>
      <c r="HS109" s="371"/>
      <c r="HT109" s="371"/>
      <c r="HU109" s="371"/>
      <c r="HV109" s="371"/>
      <c r="HW109" s="371"/>
      <c r="HX109" s="371"/>
      <c r="HY109" s="371"/>
      <c r="HZ109" s="371"/>
      <c r="IA109" s="371"/>
      <c r="IB109" s="371"/>
      <c r="IC109" s="371"/>
      <c r="ID109" s="371"/>
      <c r="IE109" s="371"/>
      <c r="IF109" s="371"/>
      <c r="IG109" s="371"/>
      <c r="IH109" s="371"/>
      <c r="II109" s="371"/>
      <c r="IJ109" s="371"/>
      <c r="IK109" s="371"/>
      <c r="IL109" s="371"/>
      <c r="IM109" s="371"/>
      <c r="IN109" s="371"/>
      <c r="IO109" s="371"/>
      <c r="IP109" s="371"/>
      <c r="IQ109" s="371"/>
      <c r="IR109" s="371"/>
      <c r="IS109" s="371"/>
      <c r="IT109" s="371"/>
      <c r="IU109" s="371"/>
      <c r="IV109" s="371"/>
    </row>
    <row r="110" spans="208:256" s="407" customFormat="1" ht="15.75">
      <c r="GZ110" s="371"/>
      <c r="HA110" s="371"/>
      <c r="HB110" s="371"/>
      <c r="HC110" s="371"/>
      <c r="HD110" s="371"/>
      <c r="HE110" s="371"/>
      <c r="HF110" s="371"/>
      <c r="HG110" s="371"/>
      <c r="HH110" s="371"/>
      <c r="HI110" s="371"/>
      <c r="HJ110" s="371"/>
      <c r="HK110" s="371"/>
      <c r="HL110" s="371"/>
      <c r="HM110" s="371"/>
      <c r="HN110" s="371"/>
      <c r="HO110" s="371"/>
      <c r="HP110" s="371"/>
      <c r="HQ110" s="371"/>
      <c r="HR110" s="371"/>
      <c r="HS110" s="371"/>
      <c r="HT110" s="371"/>
      <c r="HU110" s="371"/>
      <c r="HV110" s="371"/>
      <c r="HW110" s="371"/>
      <c r="HX110" s="371"/>
      <c r="HY110" s="371"/>
      <c r="HZ110" s="371"/>
      <c r="IA110" s="371"/>
      <c r="IB110" s="371"/>
      <c r="IC110" s="371"/>
      <c r="ID110" s="371"/>
      <c r="IE110" s="371"/>
      <c r="IF110" s="371"/>
      <c r="IG110" s="371"/>
      <c r="IH110" s="371"/>
      <c r="II110" s="371"/>
      <c r="IJ110" s="371"/>
      <c r="IK110" s="371"/>
      <c r="IL110" s="371"/>
      <c r="IM110" s="371"/>
      <c r="IN110" s="371"/>
      <c r="IO110" s="371"/>
      <c r="IP110" s="371"/>
      <c r="IQ110" s="371"/>
      <c r="IR110" s="371"/>
      <c r="IS110" s="371"/>
      <c r="IT110" s="371"/>
      <c r="IU110" s="371"/>
      <c r="IV110" s="371"/>
    </row>
    <row r="111" spans="208:256" s="407" customFormat="1" ht="15.75">
      <c r="GZ111" s="371"/>
      <c r="HA111" s="371"/>
      <c r="HB111" s="371"/>
      <c r="HC111" s="371"/>
      <c r="HD111" s="371"/>
      <c r="HE111" s="371"/>
      <c r="HF111" s="371"/>
      <c r="HG111" s="371"/>
      <c r="HH111" s="371"/>
      <c r="HI111" s="371"/>
      <c r="HJ111" s="371"/>
      <c r="HK111" s="371"/>
      <c r="HL111" s="371"/>
      <c r="HM111" s="371"/>
      <c r="HN111" s="371"/>
      <c r="HO111" s="371"/>
      <c r="HP111" s="371"/>
      <c r="HQ111" s="371"/>
      <c r="HR111" s="371"/>
      <c r="HS111" s="371"/>
      <c r="HT111" s="371"/>
      <c r="HU111" s="371"/>
      <c r="HV111" s="371"/>
      <c r="HW111" s="371"/>
      <c r="HX111" s="371"/>
      <c r="HY111" s="371"/>
      <c r="HZ111" s="371"/>
      <c r="IA111" s="371"/>
      <c r="IB111" s="371"/>
      <c r="IC111" s="371"/>
      <c r="ID111" s="371"/>
      <c r="IE111" s="371"/>
      <c r="IF111" s="371"/>
      <c r="IG111" s="371"/>
      <c r="IH111" s="371"/>
      <c r="II111" s="371"/>
      <c r="IJ111" s="371"/>
      <c r="IK111" s="371"/>
      <c r="IL111" s="371"/>
      <c r="IM111" s="371"/>
      <c r="IN111" s="371"/>
      <c r="IO111" s="371"/>
      <c r="IP111" s="371"/>
      <c r="IQ111" s="371"/>
      <c r="IR111" s="371"/>
      <c r="IS111" s="371"/>
      <c r="IT111" s="371"/>
      <c r="IU111" s="371"/>
      <c r="IV111" s="371"/>
    </row>
    <row r="112" spans="208:256" s="407" customFormat="1" ht="15.75">
      <c r="GZ112" s="371"/>
      <c r="HA112" s="371"/>
      <c r="HB112" s="371"/>
      <c r="HC112" s="371"/>
      <c r="HD112" s="371"/>
      <c r="HE112" s="371"/>
      <c r="HF112" s="371"/>
      <c r="HG112" s="371"/>
      <c r="HH112" s="371"/>
      <c r="HI112" s="371"/>
      <c r="HJ112" s="371"/>
      <c r="HK112" s="371"/>
      <c r="HL112" s="371"/>
      <c r="HM112" s="371"/>
      <c r="HN112" s="371"/>
      <c r="HO112" s="371"/>
      <c r="HP112" s="371"/>
      <c r="HQ112" s="371"/>
      <c r="HR112" s="371"/>
      <c r="HS112" s="371"/>
      <c r="HT112" s="371"/>
      <c r="HU112" s="371"/>
      <c r="HV112" s="371"/>
      <c r="HW112" s="371"/>
      <c r="HX112" s="371"/>
      <c r="HY112" s="371"/>
      <c r="HZ112" s="371"/>
      <c r="IA112" s="371"/>
      <c r="IB112" s="371"/>
      <c r="IC112" s="371"/>
      <c r="ID112" s="371"/>
      <c r="IE112" s="371"/>
      <c r="IF112" s="371"/>
      <c r="IG112" s="371"/>
      <c r="IH112" s="371"/>
      <c r="II112" s="371"/>
      <c r="IJ112" s="371"/>
      <c r="IK112" s="371"/>
      <c r="IL112" s="371"/>
      <c r="IM112" s="371"/>
      <c r="IN112" s="371"/>
      <c r="IO112" s="371"/>
      <c r="IP112" s="371"/>
      <c r="IQ112" s="371"/>
      <c r="IR112" s="371"/>
      <c r="IS112" s="371"/>
      <c r="IT112" s="371"/>
      <c r="IU112" s="371"/>
      <c r="IV112" s="371"/>
    </row>
    <row r="113" spans="208:256" s="407" customFormat="1" ht="15.75">
      <c r="GZ113" s="371"/>
      <c r="HA113" s="371"/>
      <c r="HB113" s="371"/>
      <c r="HC113" s="371"/>
      <c r="HD113" s="371"/>
      <c r="HE113" s="371"/>
      <c r="HF113" s="371"/>
      <c r="HG113" s="371"/>
      <c r="HH113" s="371"/>
      <c r="HI113" s="371"/>
      <c r="HJ113" s="371"/>
      <c r="HK113" s="371"/>
      <c r="HL113" s="371"/>
      <c r="HM113" s="371"/>
      <c r="HN113" s="371"/>
      <c r="HO113" s="371"/>
      <c r="HP113" s="371"/>
      <c r="HQ113" s="371"/>
      <c r="HR113" s="371"/>
      <c r="HS113" s="371"/>
      <c r="HT113" s="371"/>
      <c r="HU113" s="371"/>
      <c r="HV113" s="371"/>
      <c r="HW113" s="371"/>
      <c r="HX113" s="371"/>
      <c r="HY113" s="371"/>
      <c r="HZ113" s="371"/>
      <c r="IA113" s="371"/>
      <c r="IB113" s="371"/>
      <c r="IC113" s="371"/>
      <c r="ID113" s="371"/>
      <c r="IE113" s="371"/>
      <c r="IF113" s="371"/>
      <c r="IG113" s="371"/>
      <c r="IH113" s="371"/>
      <c r="II113" s="371"/>
      <c r="IJ113" s="371"/>
      <c r="IK113" s="371"/>
      <c r="IL113" s="371"/>
      <c r="IM113" s="371"/>
      <c r="IN113" s="371"/>
      <c r="IO113" s="371"/>
      <c r="IP113" s="371"/>
      <c r="IQ113" s="371"/>
      <c r="IR113" s="371"/>
      <c r="IS113" s="371"/>
      <c r="IT113" s="371"/>
      <c r="IU113" s="371"/>
      <c r="IV113" s="371"/>
    </row>
    <row r="114" spans="208:256" s="407" customFormat="1" ht="15.75">
      <c r="GZ114" s="371"/>
      <c r="HA114" s="371"/>
      <c r="HB114" s="371"/>
      <c r="HC114" s="371"/>
      <c r="HD114" s="371"/>
      <c r="HE114" s="371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1"/>
      <c r="HV114" s="371"/>
      <c r="HW114" s="371"/>
      <c r="HX114" s="371"/>
      <c r="HY114" s="371"/>
      <c r="HZ114" s="371"/>
      <c r="IA114" s="371"/>
      <c r="IB114" s="371"/>
      <c r="IC114" s="371"/>
      <c r="ID114" s="371"/>
      <c r="IE114" s="371"/>
      <c r="IF114" s="371"/>
      <c r="IG114" s="371"/>
      <c r="IH114" s="371"/>
      <c r="II114" s="371"/>
      <c r="IJ114" s="371"/>
      <c r="IK114" s="371"/>
      <c r="IL114" s="371"/>
      <c r="IM114" s="371"/>
      <c r="IN114" s="371"/>
      <c r="IO114" s="371"/>
      <c r="IP114" s="371"/>
      <c r="IQ114" s="371"/>
      <c r="IR114" s="371"/>
      <c r="IS114" s="371"/>
      <c r="IT114" s="371"/>
      <c r="IU114" s="371"/>
      <c r="IV114" s="371"/>
    </row>
    <row r="115" spans="208:256" s="407" customFormat="1" ht="15.75">
      <c r="GZ115" s="371"/>
      <c r="HA115" s="371"/>
      <c r="HB115" s="371"/>
      <c r="HC115" s="371"/>
      <c r="HD115" s="371"/>
      <c r="HE115" s="371"/>
      <c r="HF115" s="371"/>
      <c r="HG115" s="371"/>
      <c r="HH115" s="371"/>
      <c r="HI115" s="371"/>
      <c r="HJ115" s="371"/>
      <c r="HK115" s="371"/>
      <c r="HL115" s="371"/>
      <c r="HM115" s="371"/>
      <c r="HN115" s="371"/>
      <c r="HO115" s="371"/>
      <c r="HP115" s="371"/>
      <c r="HQ115" s="371"/>
      <c r="HR115" s="371"/>
      <c r="HS115" s="371"/>
      <c r="HT115" s="371"/>
      <c r="HU115" s="371"/>
      <c r="HV115" s="371"/>
      <c r="HW115" s="371"/>
      <c r="HX115" s="371"/>
      <c r="HY115" s="371"/>
      <c r="HZ115" s="371"/>
      <c r="IA115" s="371"/>
      <c r="IB115" s="371"/>
      <c r="IC115" s="371"/>
      <c r="ID115" s="371"/>
      <c r="IE115" s="371"/>
      <c r="IF115" s="371"/>
      <c r="IG115" s="371"/>
      <c r="IH115" s="371"/>
      <c r="II115" s="371"/>
      <c r="IJ115" s="371"/>
      <c r="IK115" s="371"/>
      <c r="IL115" s="371"/>
      <c r="IM115" s="371"/>
      <c r="IN115" s="371"/>
      <c r="IO115" s="371"/>
      <c r="IP115" s="371"/>
      <c r="IQ115" s="371"/>
      <c r="IR115" s="371"/>
      <c r="IS115" s="371"/>
      <c r="IT115" s="371"/>
      <c r="IU115" s="371"/>
      <c r="IV115" s="371"/>
    </row>
    <row r="116" spans="208:256" s="407" customFormat="1" ht="15.75">
      <c r="GZ116" s="371"/>
      <c r="HA116" s="371"/>
      <c r="HB116" s="371"/>
      <c r="HC116" s="371"/>
      <c r="HD116" s="371"/>
      <c r="HE116" s="371"/>
      <c r="HF116" s="371"/>
      <c r="HG116" s="371"/>
      <c r="HH116" s="371"/>
      <c r="HI116" s="371"/>
      <c r="HJ116" s="371"/>
      <c r="HK116" s="371"/>
      <c r="HL116" s="371"/>
      <c r="HM116" s="371"/>
      <c r="HN116" s="371"/>
      <c r="HO116" s="371"/>
      <c r="HP116" s="371"/>
      <c r="HQ116" s="371"/>
      <c r="HR116" s="371"/>
      <c r="HS116" s="371"/>
      <c r="HT116" s="371"/>
      <c r="HU116" s="371"/>
      <c r="HV116" s="371"/>
      <c r="HW116" s="371"/>
      <c r="HX116" s="371"/>
      <c r="HY116" s="371"/>
      <c r="HZ116" s="371"/>
      <c r="IA116" s="371"/>
      <c r="IB116" s="371"/>
      <c r="IC116" s="371"/>
      <c r="ID116" s="371"/>
      <c r="IE116" s="371"/>
      <c r="IF116" s="371"/>
      <c r="IG116" s="371"/>
      <c r="IH116" s="371"/>
      <c r="II116" s="371"/>
      <c r="IJ116" s="371"/>
      <c r="IK116" s="371"/>
      <c r="IL116" s="371"/>
      <c r="IM116" s="371"/>
      <c r="IN116" s="371"/>
      <c r="IO116" s="371"/>
      <c r="IP116" s="371"/>
      <c r="IQ116" s="371"/>
      <c r="IR116" s="371"/>
      <c r="IS116" s="371"/>
      <c r="IT116" s="371"/>
      <c r="IU116" s="371"/>
      <c r="IV116" s="371"/>
    </row>
    <row r="117" spans="208:256" s="407" customFormat="1" ht="15.75">
      <c r="GZ117" s="371"/>
      <c r="HA117" s="371"/>
      <c r="HB117" s="371"/>
      <c r="HC117" s="371"/>
      <c r="HD117" s="371"/>
      <c r="HE117" s="371"/>
      <c r="HF117" s="371"/>
      <c r="HG117" s="371"/>
      <c r="HH117" s="371"/>
      <c r="HI117" s="371"/>
      <c r="HJ117" s="371"/>
      <c r="HK117" s="371"/>
      <c r="HL117" s="371"/>
      <c r="HM117" s="371"/>
      <c r="HN117" s="371"/>
      <c r="HO117" s="371"/>
      <c r="HP117" s="371"/>
      <c r="HQ117" s="371"/>
      <c r="HR117" s="371"/>
      <c r="HS117" s="371"/>
      <c r="HT117" s="371"/>
      <c r="HU117" s="371"/>
      <c r="HV117" s="371"/>
      <c r="HW117" s="371"/>
      <c r="HX117" s="371"/>
      <c r="HY117" s="371"/>
      <c r="HZ117" s="371"/>
      <c r="IA117" s="371"/>
      <c r="IB117" s="371"/>
      <c r="IC117" s="371"/>
      <c r="ID117" s="371"/>
      <c r="IE117" s="371"/>
      <c r="IF117" s="371"/>
      <c r="IG117" s="371"/>
      <c r="IH117" s="371"/>
      <c r="II117" s="371"/>
      <c r="IJ117" s="371"/>
      <c r="IK117" s="371"/>
      <c r="IL117" s="371"/>
      <c r="IM117" s="371"/>
      <c r="IN117" s="371"/>
      <c r="IO117" s="371"/>
      <c r="IP117" s="371"/>
      <c r="IQ117" s="371"/>
      <c r="IR117" s="371"/>
      <c r="IS117" s="371"/>
      <c r="IT117" s="371"/>
      <c r="IU117" s="371"/>
      <c r="IV117" s="371"/>
    </row>
    <row r="118" spans="208:256" s="407" customFormat="1" ht="15.75">
      <c r="GZ118" s="371"/>
      <c r="HA118" s="371"/>
      <c r="HB118" s="371"/>
      <c r="HC118" s="371"/>
      <c r="HD118" s="371"/>
      <c r="HE118" s="371"/>
      <c r="HF118" s="371"/>
      <c r="HG118" s="371"/>
      <c r="HH118" s="371"/>
      <c r="HI118" s="371"/>
      <c r="HJ118" s="371"/>
      <c r="HK118" s="371"/>
      <c r="HL118" s="371"/>
      <c r="HM118" s="371"/>
      <c r="HN118" s="371"/>
      <c r="HO118" s="371"/>
      <c r="HP118" s="371"/>
      <c r="HQ118" s="371"/>
      <c r="HR118" s="371"/>
      <c r="HS118" s="371"/>
      <c r="HT118" s="371"/>
      <c r="HU118" s="371"/>
      <c r="HV118" s="371"/>
      <c r="HW118" s="371"/>
      <c r="HX118" s="371"/>
      <c r="HY118" s="371"/>
      <c r="HZ118" s="371"/>
      <c r="IA118" s="371"/>
      <c r="IB118" s="371"/>
      <c r="IC118" s="371"/>
      <c r="ID118" s="371"/>
      <c r="IE118" s="371"/>
      <c r="IF118" s="371"/>
      <c r="IG118" s="371"/>
      <c r="IH118" s="371"/>
      <c r="II118" s="371"/>
      <c r="IJ118" s="371"/>
      <c r="IK118" s="371"/>
      <c r="IL118" s="371"/>
      <c r="IM118" s="371"/>
      <c r="IN118" s="371"/>
      <c r="IO118" s="371"/>
      <c r="IP118" s="371"/>
      <c r="IQ118" s="371"/>
      <c r="IR118" s="371"/>
      <c r="IS118" s="371"/>
      <c r="IT118" s="371"/>
      <c r="IU118" s="371"/>
      <c r="IV118" s="371"/>
    </row>
    <row r="119" spans="208:256" s="407" customFormat="1" ht="15.75">
      <c r="GZ119" s="371"/>
      <c r="HA119" s="371"/>
      <c r="HB119" s="371"/>
      <c r="HC119" s="371"/>
      <c r="HD119" s="371"/>
      <c r="HE119" s="371"/>
      <c r="HF119" s="371"/>
      <c r="HG119" s="371"/>
      <c r="HH119" s="371"/>
      <c r="HI119" s="371"/>
      <c r="HJ119" s="371"/>
      <c r="HK119" s="371"/>
      <c r="HL119" s="371"/>
      <c r="HM119" s="371"/>
      <c r="HN119" s="371"/>
      <c r="HO119" s="371"/>
      <c r="HP119" s="371"/>
      <c r="HQ119" s="371"/>
      <c r="HR119" s="371"/>
      <c r="HS119" s="371"/>
      <c r="HT119" s="371"/>
      <c r="HU119" s="371"/>
      <c r="HV119" s="371"/>
      <c r="HW119" s="371"/>
      <c r="HX119" s="371"/>
      <c r="HY119" s="371"/>
      <c r="HZ119" s="371"/>
      <c r="IA119" s="371"/>
      <c r="IB119" s="371"/>
      <c r="IC119" s="371"/>
      <c r="ID119" s="371"/>
      <c r="IE119" s="371"/>
      <c r="IF119" s="371"/>
      <c r="IG119" s="371"/>
      <c r="IH119" s="371"/>
      <c r="II119" s="371"/>
      <c r="IJ119" s="371"/>
      <c r="IK119" s="371"/>
      <c r="IL119" s="371"/>
      <c r="IM119" s="371"/>
      <c r="IN119" s="371"/>
      <c r="IO119" s="371"/>
      <c r="IP119" s="371"/>
      <c r="IQ119" s="371"/>
      <c r="IR119" s="371"/>
      <c r="IS119" s="371"/>
      <c r="IT119" s="371"/>
      <c r="IU119" s="371"/>
      <c r="IV119" s="371"/>
    </row>
    <row r="120" spans="208:256" s="407" customFormat="1" ht="15.75">
      <c r="GZ120" s="371"/>
      <c r="HA120" s="371"/>
      <c r="HB120" s="371"/>
      <c r="HC120" s="371"/>
      <c r="HD120" s="371"/>
      <c r="HE120" s="371"/>
      <c r="HF120" s="371"/>
      <c r="HG120" s="371"/>
      <c r="HH120" s="371"/>
      <c r="HI120" s="371"/>
      <c r="HJ120" s="371"/>
      <c r="HK120" s="371"/>
      <c r="HL120" s="371"/>
      <c r="HM120" s="371"/>
      <c r="HN120" s="371"/>
      <c r="HO120" s="371"/>
      <c r="HP120" s="371"/>
      <c r="HQ120" s="371"/>
      <c r="HR120" s="371"/>
      <c r="HS120" s="371"/>
      <c r="HT120" s="371"/>
      <c r="HU120" s="371"/>
      <c r="HV120" s="371"/>
      <c r="HW120" s="371"/>
      <c r="HX120" s="371"/>
      <c r="HY120" s="371"/>
      <c r="HZ120" s="371"/>
      <c r="IA120" s="371"/>
      <c r="IB120" s="371"/>
      <c r="IC120" s="371"/>
      <c r="ID120" s="371"/>
      <c r="IE120" s="371"/>
      <c r="IF120" s="371"/>
      <c r="IG120" s="371"/>
      <c r="IH120" s="371"/>
      <c r="II120" s="371"/>
      <c r="IJ120" s="371"/>
      <c r="IK120" s="371"/>
      <c r="IL120" s="371"/>
      <c r="IM120" s="371"/>
      <c r="IN120" s="371"/>
      <c r="IO120" s="371"/>
      <c r="IP120" s="371"/>
      <c r="IQ120" s="371"/>
      <c r="IR120" s="371"/>
      <c r="IS120" s="371"/>
      <c r="IT120" s="371"/>
      <c r="IU120" s="371"/>
      <c r="IV120" s="371"/>
    </row>
    <row r="121" spans="208:256" s="407" customFormat="1" ht="15.75">
      <c r="GZ121" s="371"/>
      <c r="HA121" s="371"/>
      <c r="HB121" s="371"/>
      <c r="HC121" s="371"/>
      <c r="HD121" s="371"/>
      <c r="HE121" s="371"/>
      <c r="HF121" s="371"/>
      <c r="HG121" s="371"/>
      <c r="HH121" s="371"/>
      <c r="HI121" s="371"/>
      <c r="HJ121" s="371"/>
      <c r="HK121" s="371"/>
      <c r="HL121" s="371"/>
      <c r="HM121" s="371"/>
      <c r="HN121" s="371"/>
      <c r="HO121" s="371"/>
      <c r="HP121" s="371"/>
      <c r="HQ121" s="371"/>
      <c r="HR121" s="371"/>
      <c r="HS121" s="371"/>
      <c r="HT121" s="371"/>
      <c r="HU121" s="371"/>
      <c r="HV121" s="371"/>
      <c r="HW121" s="371"/>
      <c r="HX121" s="371"/>
      <c r="HY121" s="371"/>
      <c r="HZ121" s="371"/>
      <c r="IA121" s="371"/>
      <c r="IB121" s="371"/>
      <c r="IC121" s="371"/>
      <c r="ID121" s="371"/>
      <c r="IE121" s="371"/>
      <c r="IF121" s="371"/>
      <c r="IG121" s="371"/>
      <c r="IH121" s="371"/>
      <c r="II121" s="371"/>
      <c r="IJ121" s="371"/>
      <c r="IK121" s="371"/>
      <c r="IL121" s="371"/>
      <c r="IM121" s="371"/>
      <c r="IN121" s="371"/>
      <c r="IO121" s="371"/>
      <c r="IP121" s="371"/>
      <c r="IQ121" s="371"/>
      <c r="IR121" s="371"/>
      <c r="IS121" s="371"/>
      <c r="IT121" s="371"/>
      <c r="IU121" s="371"/>
      <c r="IV121" s="371"/>
    </row>
    <row r="122" spans="208:256" s="407" customFormat="1" ht="15.75">
      <c r="GZ122" s="371"/>
      <c r="HA122" s="371"/>
      <c r="HB122" s="371"/>
      <c r="HC122" s="371"/>
      <c r="HD122" s="371"/>
      <c r="HE122" s="371"/>
      <c r="HF122" s="371"/>
      <c r="HG122" s="371"/>
      <c r="HH122" s="371"/>
      <c r="HI122" s="371"/>
      <c r="HJ122" s="371"/>
      <c r="HK122" s="371"/>
      <c r="HL122" s="371"/>
      <c r="HM122" s="371"/>
      <c r="HN122" s="371"/>
      <c r="HO122" s="371"/>
      <c r="HP122" s="371"/>
      <c r="HQ122" s="371"/>
      <c r="HR122" s="371"/>
      <c r="HS122" s="371"/>
      <c r="HT122" s="371"/>
      <c r="HU122" s="371"/>
      <c r="HV122" s="371"/>
      <c r="HW122" s="371"/>
      <c r="HX122" s="371"/>
      <c r="HY122" s="371"/>
      <c r="HZ122" s="371"/>
      <c r="IA122" s="371"/>
      <c r="IB122" s="371"/>
      <c r="IC122" s="371"/>
      <c r="ID122" s="371"/>
      <c r="IE122" s="371"/>
      <c r="IF122" s="371"/>
      <c r="IG122" s="371"/>
      <c r="IH122" s="371"/>
      <c r="II122" s="371"/>
      <c r="IJ122" s="371"/>
      <c r="IK122" s="371"/>
      <c r="IL122" s="371"/>
      <c r="IM122" s="371"/>
      <c r="IN122" s="371"/>
      <c r="IO122" s="371"/>
      <c r="IP122" s="371"/>
      <c r="IQ122" s="371"/>
      <c r="IR122" s="371"/>
      <c r="IS122" s="371"/>
      <c r="IT122" s="371"/>
      <c r="IU122" s="371"/>
      <c r="IV122" s="371"/>
    </row>
    <row r="123" spans="208:256" s="407" customFormat="1" ht="15.75">
      <c r="GZ123" s="371"/>
      <c r="HA123" s="371"/>
      <c r="HB123" s="371"/>
      <c r="HC123" s="371"/>
      <c r="HD123" s="371"/>
      <c r="HE123" s="371"/>
      <c r="HF123" s="371"/>
      <c r="HG123" s="371"/>
      <c r="HH123" s="371"/>
      <c r="HI123" s="371"/>
      <c r="HJ123" s="371"/>
      <c r="HK123" s="371"/>
      <c r="HL123" s="371"/>
      <c r="HM123" s="371"/>
      <c r="HN123" s="371"/>
      <c r="HO123" s="371"/>
      <c r="HP123" s="371"/>
      <c r="HQ123" s="371"/>
      <c r="HR123" s="371"/>
      <c r="HS123" s="371"/>
      <c r="HT123" s="371"/>
      <c r="HU123" s="371"/>
      <c r="HV123" s="371"/>
      <c r="HW123" s="371"/>
      <c r="HX123" s="371"/>
      <c r="HY123" s="371"/>
      <c r="HZ123" s="371"/>
      <c r="IA123" s="371"/>
      <c r="IB123" s="371"/>
      <c r="IC123" s="371"/>
      <c r="ID123" s="371"/>
      <c r="IE123" s="371"/>
      <c r="IF123" s="371"/>
      <c r="IG123" s="371"/>
      <c r="IH123" s="371"/>
      <c r="II123" s="371"/>
      <c r="IJ123" s="371"/>
      <c r="IK123" s="371"/>
      <c r="IL123" s="371"/>
      <c r="IM123" s="371"/>
      <c r="IN123" s="371"/>
      <c r="IO123" s="371"/>
      <c r="IP123" s="371"/>
      <c r="IQ123" s="371"/>
      <c r="IR123" s="371"/>
      <c r="IS123" s="371"/>
      <c r="IT123" s="371"/>
      <c r="IU123" s="371"/>
      <c r="IV123" s="371"/>
    </row>
    <row r="124" spans="208:256" s="407" customFormat="1" ht="15.75">
      <c r="GZ124" s="371"/>
      <c r="HA124" s="371"/>
      <c r="HB124" s="371"/>
      <c r="HC124" s="371"/>
      <c r="HD124" s="371"/>
      <c r="HE124" s="371"/>
      <c r="HF124" s="371"/>
      <c r="HG124" s="371"/>
      <c r="HH124" s="371"/>
      <c r="HI124" s="371"/>
      <c r="HJ124" s="371"/>
      <c r="HK124" s="371"/>
      <c r="HL124" s="371"/>
      <c r="HM124" s="371"/>
      <c r="HN124" s="371"/>
      <c r="HO124" s="371"/>
      <c r="HP124" s="371"/>
      <c r="HQ124" s="371"/>
      <c r="HR124" s="371"/>
      <c r="HS124" s="371"/>
      <c r="HT124" s="371"/>
      <c r="HU124" s="371"/>
      <c r="HV124" s="371"/>
      <c r="HW124" s="371"/>
      <c r="HX124" s="371"/>
      <c r="HY124" s="371"/>
      <c r="HZ124" s="371"/>
      <c r="IA124" s="371"/>
      <c r="IB124" s="371"/>
      <c r="IC124" s="371"/>
      <c r="ID124" s="371"/>
      <c r="IE124" s="371"/>
      <c r="IF124" s="371"/>
      <c r="IG124" s="371"/>
      <c r="IH124" s="371"/>
      <c r="II124" s="371"/>
      <c r="IJ124" s="371"/>
      <c r="IK124" s="371"/>
      <c r="IL124" s="371"/>
      <c r="IM124" s="371"/>
      <c r="IN124" s="371"/>
      <c r="IO124" s="371"/>
      <c r="IP124" s="371"/>
      <c r="IQ124" s="371"/>
      <c r="IR124" s="371"/>
      <c r="IS124" s="371"/>
      <c r="IT124" s="371"/>
      <c r="IU124" s="371"/>
      <c r="IV124" s="371"/>
    </row>
    <row r="125" spans="208:256" s="407" customFormat="1" ht="15.75">
      <c r="GZ125" s="371"/>
      <c r="HA125" s="371"/>
      <c r="HB125" s="371"/>
      <c r="HC125" s="371"/>
      <c r="HD125" s="371"/>
      <c r="HE125" s="371"/>
      <c r="HF125" s="371"/>
      <c r="HG125" s="371"/>
      <c r="HH125" s="371"/>
      <c r="HI125" s="371"/>
      <c r="HJ125" s="371"/>
      <c r="HK125" s="371"/>
      <c r="HL125" s="371"/>
      <c r="HM125" s="371"/>
      <c r="HN125" s="371"/>
      <c r="HO125" s="371"/>
      <c r="HP125" s="371"/>
      <c r="HQ125" s="371"/>
      <c r="HR125" s="371"/>
      <c r="HS125" s="371"/>
      <c r="HT125" s="371"/>
      <c r="HU125" s="371"/>
      <c r="HV125" s="371"/>
      <c r="HW125" s="371"/>
      <c r="HX125" s="371"/>
      <c r="HY125" s="371"/>
      <c r="HZ125" s="371"/>
      <c r="IA125" s="371"/>
      <c r="IB125" s="371"/>
      <c r="IC125" s="371"/>
      <c r="ID125" s="371"/>
      <c r="IE125" s="371"/>
      <c r="IF125" s="371"/>
      <c r="IG125" s="371"/>
      <c r="IH125" s="371"/>
      <c r="II125" s="371"/>
      <c r="IJ125" s="371"/>
      <c r="IK125" s="371"/>
      <c r="IL125" s="371"/>
      <c r="IM125" s="371"/>
      <c r="IN125" s="371"/>
      <c r="IO125" s="371"/>
      <c r="IP125" s="371"/>
      <c r="IQ125" s="371"/>
      <c r="IR125" s="371"/>
      <c r="IS125" s="371"/>
      <c r="IT125" s="371"/>
      <c r="IU125" s="371"/>
      <c r="IV125" s="371"/>
    </row>
    <row r="126" spans="208:256" s="407" customFormat="1" ht="15.75">
      <c r="GZ126" s="371"/>
      <c r="HA126" s="371"/>
      <c r="HB126" s="371"/>
      <c r="HC126" s="371"/>
      <c r="HD126" s="371"/>
      <c r="HE126" s="371"/>
      <c r="HF126" s="371"/>
      <c r="HG126" s="371"/>
      <c r="HH126" s="371"/>
      <c r="HI126" s="371"/>
      <c r="HJ126" s="371"/>
      <c r="HK126" s="371"/>
      <c r="HL126" s="371"/>
      <c r="HM126" s="371"/>
      <c r="HN126" s="371"/>
      <c r="HO126" s="371"/>
      <c r="HP126" s="371"/>
      <c r="HQ126" s="371"/>
      <c r="HR126" s="371"/>
      <c r="HS126" s="371"/>
      <c r="HT126" s="371"/>
      <c r="HU126" s="371"/>
      <c r="HV126" s="371"/>
      <c r="HW126" s="371"/>
      <c r="HX126" s="371"/>
      <c r="HY126" s="371"/>
      <c r="HZ126" s="371"/>
      <c r="IA126" s="371"/>
      <c r="IB126" s="371"/>
      <c r="IC126" s="371"/>
      <c r="ID126" s="371"/>
      <c r="IE126" s="371"/>
      <c r="IF126" s="371"/>
      <c r="IG126" s="371"/>
      <c r="IH126" s="371"/>
      <c r="II126" s="371"/>
      <c r="IJ126" s="371"/>
      <c r="IK126" s="371"/>
      <c r="IL126" s="371"/>
      <c r="IM126" s="371"/>
      <c r="IN126" s="371"/>
      <c r="IO126" s="371"/>
      <c r="IP126" s="371"/>
      <c r="IQ126" s="371"/>
      <c r="IR126" s="371"/>
      <c r="IS126" s="371"/>
      <c r="IT126" s="371"/>
      <c r="IU126" s="371"/>
      <c r="IV126" s="371"/>
    </row>
    <row r="127" spans="208:256" s="407" customFormat="1" ht="15.75">
      <c r="GZ127" s="371"/>
      <c r="HA127" s="371"/>
      <c r="HB127" s="371"/>
      <c r="HC127" s="371"/>
      <c r="HD127" s="371"/>
      <c r="HE127" s="371"/>
      <c r="HF127" s="371"/>
      <c r="HG127" s="371"/>
      <c r="HH127" s="371"/>
      <c r="HI127" s="371"/>
      <c r="HJ127" s="371"/>
      <c r="HK127" s="371"/>
      <c r="HL127" s="371"/>
      <c r="HM127" s="371"/>
      <c r="HN127" s="371"/>
      <c r="HO127" s="371"/>
      <c r="HP127" s="371"/>
      <c r="HQ127" s="371"/>
      <c r="HR127" s="371"/>
      <c r="HS127" s="371"/>
      <c r="HT127" s="371"/>
      <c r="HU127" s="371"/>
      <c r="HV127" s="371"/>
      <c r="HW127" s="371"/>
      <c r="HX127" s="371"/>
      <c r="HY127" s="371"/>
      <c r="HZ127" s="371"/>
      <c r="IA127" s="371"/>
      <c r="IB127" s="371"/>
      <c r="IC127" s="371"/>
      <c r="ID127" s="371"/>
      <c r="IE127" s="371"/>
      <c r="IF127" s="371"/>
      <c r="IG127" s="371"/>
      <c r="IH127" s="371"/>
      <c r="II127" s="371"/>
      <c r="IJ127" s="371"/>
      <c r="IK127" s="371"/>
      <c r="IL127" s="371"/>
      <c r="IM127" s="371"/>
      <c r="IN127" s="371"/>
      <c r="IO127" s="371"/>
      <c r="IP127" s="371"/>
      <c r="IQ127" s="371"/>
      <c r="IR127" s="371"/>
      <c r="IS127" s="371"/>
      <c r="IT127" s="371"/>
      <c r="IU127" s="371"/>
      <c r="IV127" s="371"/>
    </row>
    <row r="128" spans="208:256" s="407" customFormat="1" ht="15.75">
      <c r="GZ128" s="371"/>
      <c r="HA128" s="371"/>
      <c r="HB128" s="371"/>
      <c r="HC128" s="371"/>
      <c r="HD128" s="371"/>
      <c r="HE128" s="371"/>
      <c r="HF128" s="371"/>
      <c r="HG128" s="371"/>
      <c r="HH128" s="371"/>
      <c r="HI128" s="371"/>
      <c r="HJ128" s="371"/>
      <c r="HK128" s="371"/>
      <c r="HL128" s="371"/>
      <c r="HM128" s="371"/>
      <c r="HN128" s="371"/>
      <c r="HO128" s="371"/>
      <c r="HP128" s="371"/>
      <c r="HQ128" s="371"/>
      <c r="HR128" s="371"/>
      <c r="HS128" s="371"/>
      <c r="HT128" s="371"/>
      <c r="HU128" s="371"/>
      <c r="HV128" s="371"/>
      <c r="HW128" s="371"/>
      <c r="HX128" s="371"/>
      <c r="HY128" s="371"/>
      <c r="HZ128" s="371"/>
      <c r="IA128" s="371"/>
      <c r="IB128" s="371"/>
      <c r="IC128" s="371"/>
      <c r="ID128" s="371"/>
      <c r="IE128" s="371"/>
      <c r="IF128" s="371"/>
      <c r="IG128" s="371"/>
      <c r="IH128" s="371"/>
      <c r="II128" s="371"/>
      <c r="IJ128" s="371"/>
      <c r="IK128" s="371"/>
      <c r="IL128" s="371"/>
      <c r="IM128" s="371"/>
      <c r="IN128" s="371"/>
      <c r="IO128" s="371"/>
      <c r="IP128" s="371"/>
      <c r="IQ128" s="371"/>
      <c r="IR128" s="371"/>
      <c r="IS128" s="371"/>
      <c r="IT128" s="371"/>
      <c r="IU128" s="371"/>
      <c r="IV128" s="371"/>
    </row>
    <row r="129" spans="208:256" s="407" customFormat="1" ht="15.75">
      <c r="GZ129" s="371"/>
      <c r="HA129" s="371"/>
      <c r="HB129" s="371"/>
      <c r="HC129" s="371"/>
      <c r="HD129" s="371"/>
      <c r="HE129" s="371"/>
      <c r="HF129" s="371"/>
      <c r="HG129" s="371"/>
      <c r="HH129" s="371"/>
      <c r="HI129" s="371"/>
      <c r="HJ129" s="371"/>
      <c r="HK129" s="371"/>
      <c r="HL129" s="371"/>
      <c r="HM129" s="371"/>
      <c r="HN129" s="371"/>
      <c r="HO129" s="371"/>
      <c r="HP129" s="371"/>
      <c r="HQ129" s="371"/>
      <c r="HR129" s="371"/>
      <c r="HS129" s="371"/>
      <c r="HT129" s="371"/>
      <c r="HU129" s="371"/>
      <c r="HV129" s="371"/>
      <c r="HW129" s="371"/>
      <c r="HX129" s="371"/>
      <c r="HY129" s="371"/>
      <c r="HZ129" s="371"/>
      <c r="IA129" s="371"/>
      <c r="IB129" s="371"/>
      <c r="IC129" s="371"/>
      <c r="ID129" s="371"/>
      <c r="IE129" s="371"/>
      <c r="IF129" s="371"/>
      <c r="IG129" s="371"/>
      <c r="IH129" s="371"/>
      <c r="II129" s="371"/>
      <c r="IJ129" s="371"/>
      <c r="IK129" s="371"/>
      <c r="IL129" s="371"/>
      <c r="IM129" s="371"/>
      <c r="IN129" s="371"/>
      <c r="IO129" s="371"/>
      <c r="IP129" s="371"/>
      <c r="IQ129" s="371"/>
      <c r="IR129" s="371"/>
      <c r="IS129" s="371"/>
      <c r="IT129" s="371"/>
      <c r="IU129" s="371"/>
      <c r="IV129" s="371"/>
    </row>
    <row r="130" spans="208:256" s="407" customFormat="1" ht="15.75">
      <c r="GZ130" s="371"/>
      <c r="HA130" s="371"/>
      <c r="HB130" s="371"/>
      <c r="HC130" s="371"/>
      <c r="HD130" s="371"/>
      <c r="HE130" s="371"/>
      <c r="HF130" s="371"/>
      <c r="HG130" s="371"/>
      <c r="HH130" s="371"/>
      <c r="HI130" s="371"/>
      <c r="HJ130" s="371"/>
      <c r="HK130" s="371"/>
      <c r="HL130" s="371"/>
      <c r="HM130" s="371"/>
      <c r="HN130" s="371"/>
      <c r="HO130" s="371"/>
      <c r="HP130" s="371"/>
      <c r="HQ130" s="371"/>
      <c r="HR130" s="371"/>
      <c r="HS130" s="371"/>
      <c r="HT130" s="371"/>
      <c r="HU130" s="371"/>
      <c r="HV130" s="371"/>
      <c r="HW130" s="371"/>
      <c r="HX130" s="371"/>
      <c r="HY130" s="371"/>
      <c r="HZ130" s="371"/>
      <c r="IA130" s="371"/>
      <c r="IB130" s="371"/>
      <c r="IC130" s="371"/>
      <c r="ID130" s="371"/>
      <c r="IE130" s="371"/>
      <c r="IF130" s="371"/>
      <c r="IG130" s="371"/>
      <c r="IH130" s="371"/>
      <c r="II130" s="371"/>
      <c r="IJ130" s="371"/>
      <c r="IK130" s="371"/>
      <c r="IL130" s="371"/>
      <c r="IM130" s="371"/>
      <c r="IN130" s="371"/>
      <c r="IO130" s="371"/>
      <c r="IP130" s="371"/>
      <c r="IQ130" s="371"/>
      <c r="IR130" s="371"/>
      <c r="IS130" s="371"/>
      <c r="IT130" s="371"/>
      <c r="IU130" s="371"/>
      <c r="IV130" s="371"/>
    </row>
    <row r="131" spans="208:256" s="407" customFormat="1" ht="15.75">
      <c r="GZ131" s="371"/>
      <c r="HA131" s="371"/>
      <c r="HB131" s="371"/>
      <c r="HC131" s="371"/>
      <c r="HD131" s="371"/>
      <c r="HE131" s="371"/>
      <c r="HF131" s="371"/>
      <c r="HG131" s="371"/>
      <c r="HH131" s="371"/>
      <c r="HI131" s="371"/>
      <c r="HJ131" s="371"/>
      <c r="HK131" s="371"/>
      <c r="HL131" s="371"/>
      <c r="HM131" s="371"/>
      <c r="HN131" s="371"/>
      <c r="HO131" s="371"/>
      <c r="HP131" s="371"/>
      <c r="HQ131" s="371"/>
      <c r="HR131" s="371"/>
      <c r="HS131" s="371"/>
      <c r="HT131" s="371"/>
      <c r="HU131" s="371"/>
      <c r="HV131" s="371"/>
      <c r="HW131" s="371"/>
      <c r="HX131" s="371"/>
      <c r="HY131" s="371"/>
      <c r="HZ131" s="371"/>
      <c r="IA131" s="371"/>
      <c r="IB131" s="371"/>
      <c r="IC131" s="371"/>
      <c r="ID131" s="371"/>
      <c r="IE131" s="371"/>
      <c r="IF131" s="371"/>
      <c r="IG131" s="371"/>
      <c r="IH131" s="371"/>
      <c r="II131" s="371"/>
      <c r="IJ131" s="371"/>
      <c r="IK131" s="371"/>
      <c r="IL131" s="371"/>
      <c r="IM131" s="371"/>
      <c r="IN131" s="371"/>
      <c r="IO131" s="371"/>
      <c r="IP131" s="371"/>
      <c r="IQ131" s="371"/>
      <c r="IR131" s="371"/>
      <c r="IS131" s="371"/>
      <c r="IT131" s="371"/>
      <c r="IU131" s="371"/>
      <c r="IV131" s="371"/>
    </row>
    <row r="132" spans="208:256" s="407" customFormat="1" ht="15.75">
      <c r="GZ132" s="371"/>
      <c r="HA132" s="371"/>
      <c r="HB132" s="371"/>
      <c r="HC132" s="371"/>
      <c r="HD132" s="371"/>
      <c r="HE132" s="371"/>
      <c r="HF132" s="371"/>
      <c r="HG132" s="371"/>
      <c r="HH132" s="371"/>
      <c r="HI132" s="371"/>
      <c r="HJ132" s="371"/>
      <c r="HK132" s="371"/>
      <c r="HL132" s="371"/>
      <c r="HM132" s="371"/>
      <c r="HN132" s="371"/>
      <c r="HO132" s="371"/>
      <c r="HP132" s="371"/>
      <c r="HQ132" s="371"/>
      <c r="HR132" s="371"/>
      <c r="HS132" s="371"/>
      <c r="HT132" s="371"/>
      <c r="HU132" s="371"/>
      <c r="HV132" s="371"/>
      <c r="HW132" s="371"/>
      <c r="HX132" s="371"/>
      <c r="HY132" s="371"/>
      <c r="HZ132" s="371"/>
      <c r="IA132" s="371"/>
      <c r="IB132" s="371"/>
      <c r="IC132" s="371"/>
      <c r="ID132" s="371"/>
      <c r="IE132" s="371"/>
      <c r="IF132" s="371"/>
      <c r="IG132" s="371"/>
      <c r="IH132" s="371"/>
      <c r="II132" s="371"/>
      <c r="IJ132" s="371"/>
      <c r="IK132" s="371"/>
      <c r="IL132" s="371"/>
      <c r="IM132" s="371"/>
      <c r="IN132" s="371"/>
      <c r="IO132" s="371"/>
      <c r="IP132" s="371"/>
      <c r="IQ132" s="371"/>
      <c r="IR132" s="371"/>
      <c r="IS132" s="371"/>
      <c r="IT132" s="371"/>
      <c r="IU132" s="371"/>
      <c r="IV132" s="371"/>
    </row>
    <row r="133" spans="208:256" s="407" customFormat="1" ht="15.75">
      <c r="GZ133" s="371"/>
      <c r="HA133" s="371"/>
      <c r="HB133" s="371"/>
      <c r="HC133" s="371"/>
      <c r="HD133" s="371"/>
      <c r="HE133" s="371"/>
      <c r="HF133" s="371"/>
      <c r="HG133" s="371"/>
      <c r="HH133" s="371"/>
      <c r="HI133" s="371"/>
      <c r="HJ133" s="371"/>
      <c r="HK133" s="371"/>
      <c r="HL133" s="371"/>
      <c r="HM133" s="371"/>
      <c r="HN133" s="371"/>
      <c r="HO133" s="371"/>
      <c r="HP133" s="371"/>
      <c r="HQ133" s="371"/>
      <c r="HR133" s="371"/>
      <c r="HS133" s="371"/>
      <c r="HT133" s="371"/>
      <c r="HU133" s="371"/>
      <c r="HV133" s="371"/>
      <c r="HW133" s="371"/>
      <c r="HX133" s="371"/>
      <c r="HY133" s="371"/>
      <c r="HZ133" s="371"/>
      <c r="IA133" s="371"/>
      <c r="IB133" s="371"/>
      <c r="IC133" s="371"/>
      <c r="ID133" s="371"/>
      <c r="IE133" s="371"/>
      <c r="IF133" s="371"/>
      <c r="IG133" s="371"/>
      <c r="IH133" s="371"/>
      <c r="II133" s="371"/>
      <c r="IJ133" s="371"/>
      <c r="IK133" s="371"/>
      <c r="IL133" s="371"/>
      <c r="IM133" s="371"/>
      <c r="IN133" s="371"/>
      <c r="IO133" s="371"/>
      <c r="IP133" s="371"/>
      <c r="IQ133" s="371"/>
      <c r="IR133" s="371"/>
      <c r="IS133" s="371"/>
      <c r="IT133" s="371"/>
      <c r="IU133" s="371"/>
      <c r="IV133" s="371"/>
    </row>
    <row r="134" spans="208:256" s="407" customFormat="1" ht="15.75">
      <c r="GZ134" s="371"/>
      <c r="HA134" s="371"/>
      <c r="HB134" s="371"/>
      <c r="HC134" s="371"/>
      <c r="HD134" s="371"/>
      <c r="HE134" s="371"/>
      <c r="HF134" s="371"/>
      <c r="HG134" s="371"/>
      <c r="HH134" s="371"/>
      <c r="HI134" s="371"/>
      <c r="HJ134" s="371"/>
      <c r="HK134" s="371"/>
      <c r="HL134" s="371"/>
      <c r="HM134" s="371"/>
      <c r="HN134" s="371"/>
      <c r="HO134" s="371"/>
      <c r="HP134" s="371"/>
      <c r="HQ134" s="371"/>
      <c r="HR134" s="371"/>
      <c r="HS134" s="371"/>
      <c r="HT134" s="371"/>
      <c r="HU134" s="371"/>
      <c r="HV134" s="371"/>
      <c r="HW134" s="371"/>
      <c r="HX134" s="371"/>
      <c r="HY134" s="371"/>
      <c r="HZ134" s="371"/>
      <c r="IA134" s="371"/>
      <c r="IB134" s="371"/>
      <c r="IC134" s="371"/>
      <c r="ID134" s="371"/>
      <c r="IE134" s="371"/>
      <c r="IF134" s="371"/>
      <c r="IG134" s="371"/>
      <c r="IH134" s="371"/>
      <c r="II134" s="371"/>
      <c r="IJ134" s="371"/>
      <c r="IK134" s="371"/>
      <c r="IL134" s="371"/>
      <c r="IM134" s="371"/>
      <c r="IN134" s="371"/>
      <c r="IO134" s="371"/>
      <c r="IP134" s="371"/>
      <c r="IQ134" s="371"/>
      <c r="IR134" s="371"/>
      <c r="IS134" s="371"/>
      <c r="IT134" s="371"/>
      <c r="IU134" s="371"/>
      <c r="IV134" s="371"/>
    </row>
    <row r="135" spans="208:256" s="407" customFormat="1" ht="15.75">
      <c r="GZ135" s="371"/>
      <c r="HA135" s="371"/>
      <c r="HB135" s="371"/>
      <c r="HC135" s="371"/>
      <c r="HD135" s="371"/>
      <c r="HE135" s="371"/>
      <c r="HF135" s="371"/>
      <c r="HG135" s="371"/>
      <c r="HH135" s="371"/>
      <c r="HI135" s="371"/>
      <c r="HJ135" s="371"/>
      <c r="HK135" s="371"/>
      <c r="HL135" s="371"/>
      <c r="HM135" s="371"/>
      <c r="HN135" s="371"/>
      <c r="HO135" s="371"/>
      <c r="HP135" s="371"/>
      <c r="HQ135" s="371"/>
      <c r="HR135" s="371"/>
      <c r="HS135" s="371"/>
      <c r="HT135" s="371"/>
      <c r="HU135" s="371"/>
      <c r="HV135" s="371"/>
      <c r="HW135" s="371"/>
      <c r="HX135" s="371"/>
      <c r="HY135" s="371"/>
      <c r="HZ135" s="371"/>
      <c r="IA135" s="371"/>
      <c r="IB135" s="371"/>
      <c r="IC135" s="371"/>
      <c r="ID135" s="371"/>
      <c r="IE135" s="371"/>
      <c r="IF135" s="371"/>
      <c r="IG135" s="371"/>
      <c r="IH135" s="371"/>
      <c r="II135" s="371"/>
      <c r="IJ135" s="371"/>
      <c r="IK135" s="371"/>
      <c r="IL135" s="371"/>
      <c r="IM135" s="371"/>
      <c r="IN135" s="371"/>
      <c r="IO135" s="371"/>
      <c r="IP135" s="371"/>
      <c r="IQ135" s="371"/>
      <c r="IR135" s="371"/>
      <c r="IS135" s="371"/>
      <c r="IT135" s="371"/>
      <c r="IU135" s="371"/>
      <c r="IV135" s="371"/>
    </row>
    <row r="136" spans="208:256" s="407" customFormat="1" ht="15.75">
      <c r="GZ136" s="371"/>
      <c r="HA136" s="371"/>
      <c r="HB136" s="371"/>
      <c r="HC136" s="371"/>
      <c r="HD136" s="371"/>
      <c r="HE136" s="371"/>
      <c r="HF136" s="371"/>
      <c r="HG136" s="371"/>
      <c r="HH136" s="371"/>
      <c r="HI136" s="371"/>
      <c r="HJ136" s="371"/>
      <c r="HK136" s="371"/>
      <c r="HL136" s="371"/>
      <c r="HM136" s="371"/>
      <c r="HN136" s="371"/>
      <c r="HO136" s="371"/>
      <c r="HP136" s="371"/>
      <c r="HQ136" s="371"/>
      <c r="HR136" s="371"/>
      <c r="HS136" s="371"/>
      <c r="HT136" s="371"/>
      <c r="HU136" s="371"/>
      <c r="HV136" s="371"/>
      <c r="HW136" s="371"/>
      <c r="HX136" s="371"/>
      <c r="HY136" s="371"/>
      <c r="HZ136" s="371"/>
      <c r="IA136" s="371"/>
      <c r="IB136" s="371"/>
      <c r="IC136" s="371"/>
      <c r="ID136" s="371"/>
      <c r="IE136" s="371"/>
      <c r="IF136" s="371"/>
      <c r="IG136" s="371"/>
      <c r="IH136" s="371"/>
      <c r="II136" s="371"/>
      <c r="IJ136" s="371"/>
      <c r="IK136" s="371"/>
      <c r="IL136" s="371"/>
      <c r="IM136" s="371"/>
      <c r="IN136" s="371"/>
      <c r="IO136" s="371"/>
      <c r="IP136" s="371"/>
      <c r="IQ136" s="371"/>
      <c r="IR136" s="371"/>
      <c r="IS136" s="371"/>
      <c r="IT136" s="371"/>
      <c r="IU136" s="371"/>
      <c r="IV136" s="371"/>
    </row>
    <row r="137" spans="208:256" s="407" customFormat="1" ht="15.75">
      <c r="GZ137" s="371"/>
      <c r="HA137" s="371"/>
      <c r="HB137" s="371"/>
      <c r="HC137" s="371"/>
      <c r="HD137" s="371"/>
      <c r="HE137" s="371"/>
      <c r="HF137" s="371"/>
      <c r="HG137" s="371"/>
      <c r="HH137" s="371"/>
      <c r="HI137" s="371"/>
      <c r="HJ137" s="371"/>
      <c r="HK137" s="371"/>
      <c r="HL137" s="371"/>
      <c r="HM137" s="371"/>
      <c r="HN137" s="371"/>
      <c r="HO137" s="371"/>
      <c r="HP137" s="371"/>
      <c r="HQ137" s="371"/>
      <c r="HR137" s="371"/>
      <c r="HS137" s="371"/>
      <c r="HT137" s="371"/>
      <c r="HU137" s="371"/>
      <c r="HV137" s="371"/>
      <c r="HW137" s="371"/>
      <c r="HX137" s="371"/>
      <c r="HY137" s="371"/>
      <c r="HZ137" s="371"/>
      <c r="IA137" s="371"/>
      <c r="IB137" s="371"/>
      <c r="IC137" s="371"/>
      <c r="ID137" s="371"/>
      <c r="IE137" s="371"/>
      <c r="IF137" s="371"/>
      <c r="IG137" s="371"/>
      <c r="IH137" s="371"/>
      <c r="II137" s="371"/>
      <c r="IJ137" s="371"/>
      <c r="IK137" s="371"/>
      <c r="IL137" s="371"/>
      <c r="IM137" s="371"/>
      <c r="IN137" s="371"/>
      <c r="IO137" s="371"/>
      <c r="IP137" s="371"/>
      <c r="IQ137" s="371"/>
      <c r="IR137" s="371"/>
      <c r="IS137" s="371"/>
      <c r="IT137" s="371"/>
      <c r="IU137" s="371"/>
      <c r="IV137" s="371"/>
    </row>
    <row r="138" spans="208:256" s="407" customFormat="1" ht="15.75">
      <c r="GZ138" s="371"/>
      <c r="HA138" s="371"/>
      <c r="HB138" s="371"/>
      <c r="HC138" s="371"/>
      <c r="HD138" s="371"/>
      <c r="HE138" s="371"/>
      <c r="HF138" s="371"/>
      <c r="HG138" s="371"/>
      <c r="HH138" s="371"/>
      <c r="HI138" s="371"/>
      <c r="HJ138" s="371"/>
      <c r="HK138" s="371"/>
      <c r="HL138" s="371"/>
      <c r="HM138" s="371"/>
      <c r="HN138" s="371"/>
      <c r="HO138" s="371"/>
      <c r="HP138" s="371"/>
      <c r="HQ138" s="371"/>
      <c r="HR138" s="371"/>
      <c r="HS138" s="371"/>
      <c r="HT138" s="371"/>
      <c r="HU138" s="371"/>
      <c r="HV138" s="371"/>
      <c r="HW138" s="371"/>
      <c r="HX138" s="371"/>
      <c r="HY138" s="371"/>
      <c r="HZ138" s="371"/>
      <c r="IA138" s="371"/>
      <c r="IB138" s="371"/>
      <c r="IC138" s="371"/>
      <c r="ID138" s="371"/>
      <c r="IE138" s="371"/>
      <c r="IF138" s="371"/>
      <c r="IG138" s="371"/>
      <c r="IH138" s="371"/>
      <c r="II138" s="371"/>
      <c r="IJ138" s="371"/>
      <c r="IK138" s="371"/>
      <c r="IL138" s="371"/>
      <c r="IM138" s="371"/>
      <c r="IN138" s="371"/>
      <c r="IO138" s="371"/>
      <c r="IP138" s="371"/>
      <c r="IQ138" s="371"/>
      <c r="IR138" s="371"/>
      <c r="IS138" s="371"/>
      <c r="IT138" s="371"/>
      <c r="IU138" s="371"/>
      <c r="IV138" s="371"/>
    </row>
    <row r="139" spans="208:256" s="407" customFormat="1" ht="15.75">
      <c r="GZ139" s="371"/>
      <c r="HA139" s="371"/>
      <c r="HB139" s="371"/>
      <c r="HC139" s="371"/>
      <c r="HD139" s="371"/>
      <c r="HE139" s="371"/>
      <c r="HF139" s="371"/>
      <c r="HG139" s="371"/>
      <c r="HH139" s="371"/>
      <c r="HI139" s="371"/>
      <c r="HJ139" s="371"/>
      <c r="HK139" s="371"/>
      <c r="HL139" s="371"/>
      <c r="HM139" s="371"/>
      <c r="HN139" s="371"/>
      <c r="HO139" s="371"/>
      <c r="HP139" s="371"/>
      <c r="HQ139" s="371"/>
      <c r="HR139" s="371"/>
      <c r="HS139" s="371"/>
      <c r="HT139" s="371"/>
      <c r="HU139" s="371"/>
      <c r="HV139" s="371"/>
      <c r="HW139" s="371"/>
      <c r="HX139" s="371"/>
      <c r="HY139" s="371"/>
      <c r="HZ139" s="371"/>
      <c r="IA139" s="371"/>
      <c r="IB139" s="371"/>
      <c r="IC139" s="371"/>
      <c r="ID139" s="371"/>
      <c r="IE139" s="371"/>
      <c r="IF139" s="371"/>
      <c r="IG139" s="371"/>
      <c r="IH139" s="371"/>
      <c r="II139" s="371"/>
      <c r="IJ139" s="371"/>
      <c r="IK139" s="371"/>
      <c r="IL139" s="371"/>
      <c r="IM139" s="371"/>
      <c r="IN139" s="371"/>
      <c r="IO139" s="371"/>
      <c r="IP139" s="371"/>
      <c r="IQ139" s="371"/>
      <c r="IR139" s="371"/>
      <c r="IS139" s="371"/>
      <c r="IT139" s="371"/>
      <c r="IU139" s="371"/>
      <c r="IV139" s="371"/>
    </row>
    <row r="140" spans="208:256" s="407" customFormat="1" ht="15.75">
      <c r="GZ140" s="371"/>
      <c r="HA140" s="371"/>
      <c r="HB140" s="371"/>
      <c r="HC140" s="371"/>
      <c r="HD140" s="371"/>
      <c r="HE140" s="371"/>
      <c r="HF140" s="371"/>
      <c r="HG140" s="371"/>
      <c r="HH140" s="371"/>
      <c r="HI140" s="371"/>
      <c r="HJ140" s="371"/>
      <c r="HK140" s="371"/>
      <c r="HL140" s="371"/>
      <c r="HM140" s="371"/>
      <c r="HN140" s="371"/>
      <c r="HO140" s="371"/>
      <c r="HP140" s="371"/>
      <c r="HQ140" s="371"/>
      <c r="HR140" s="371"/>
      <c r="HS140" s="371"/>
      <c r="HT140" s="371"/>
      <c r="HU140" s="371"/>
      <c r="HV140" s="371"/>
      <c r="HW140" s="371"/>
      <c r="HX140" s="371"/>
      <c r="HY140" s="371"/>
      <c r="HZ140" s="371"/>
      <c r="IA140" s="371"/>
      <c r="IB140" s="371"/>
      <c r="IC140" s="371"/>
      <c r="ID140" s="371"/>
      <c r="IE140" s="371"/>
      <c r="IF140" s="371"/>
      <c r="IG140" s="371"/>
      <c r="IH140" s="371"/>
      <c r="II140" s="371"/>
      <c r="IJ140" s="371"/>
      <c r="IK140" s="371"/>
      <c r="IL140" s="371"/>
      <c r="IM140" s="371"/>
      <c r="IN140" s="371"/>
      <c r="IO140" s="371"/>
      <c r="IP140" s="371"/>
      <c r="IQ140" s="371"/>
      <c r="IR140" s="371"/>
      <c r="IS140" s="371"/>
      <c r="IT140" s="371"/>
      <c r="IU140" s="371"/>
      <c r="IV140" s="371"/>
    </row>
    <row r="141" spans="208:256" s="407" customFormat="1" ht="15.75">
      <c r="GZ141" s="371"/>
      <c r="HA141" s="371"/>
      <c r="HB141" s="371"/>
      <c r="HC141" s="371"/>
      <c r="HD141" s="371"/>
      <c r="HE141" s="371"/>
      <c r="HF141" s="371"/>
      <c r="HG141" s="371"/>
      <c r="HH141" s="371"/>
      <c r="HI141" s="371"/>
      <c r="HJ141" s="371"/>
      <c r="HK141" s="371"/>
      <c r="HL141" s="371"/>
      <c r="HM141" s="371"/>
      <c r="HN141" s="371"/>
      <c r="HO141" s="371"/>
      <c r="HP141" s="371"/>
      <c r="HQ141" s="371"/>
      <c r="HR141" s="371"/>
      <c r="HS141" s="371"/>
      <c r="HT141" s="371"/>
      <c r="HU141" s="371"/>
      <c r="HV141" s="371"/>
      <c r="HW141" s="371"/>
      <c r="HX141" s="371"/>
      <c r="HY141" s="371"/>
      <c r="HZ141" s="371"/>
      <c r="IA141" s="371"/>
      <c r="IB141" s="371"/>
      <c r="IC141" s="371"/>
      <c r="ID141" s="371"/>
      <c r="IE141" s="371"/>
      <c r="IF141" s="371"/>
      <c r="IG141" s="371"/>
      <c r="IH141" s="371"/>
      <c r="II141" s="371"/>
      <c r="IJ141" s="371"/>
      <c r="IK141" s="371"/>
      <c r="IL141" s="371"/>
      <c r="IM141" s="371"/>
      <c r="IN141" s="371"/>
      <c r="IO141" s="371"/>
      <c r="IP141" s="371"/>
      <c r="IQ141" s="371"/>
      <c r="IR141" s="371"/>
      <c r="IS141" s="371"/>
      <c r="IT141" s="371"/>
      <c r="IU141" s="371"/>
      <c r="IV141" s="371"/>
    </row>
    <row r="142" spans="208:256" s="407" customFormat="1" ht="15.75">
      <c r="GZ142" s="371"/>
      <c r="HA142" s="371"/>
      <c r="HB142" s="371"/>
      <c r="HC142" s="371"/>
      <c r="HD142" s="371"/>
      <c r="HE142" s="371"/>
      <c r="HF142" s="371"/>
      <c r="HG142" s="371"/>
      <c r="HH142" s="371"/>
      <c r="HI142" s="371"/>
      <c r="HJ142" s="371"/>
      <c r="HK142" s="371"/>
      <c r="HL142" s="371"/>
      <c r="HM142" s="371"/>
      <c r="HN142" s="371"/>
      <c r="HO142" s="371"/>
      <c r="HP142" s="371"/>
      <c r="HQ142" s="371"/>
      <c r="HR142" s="371"/>
      <c r="HS142" s="371"/>
      <c r="HT142" s="371"/>
      <c r="HU142" s="371"/>
      <c r="HV142" s="371"/>
      <c r="HW142" s="371"/>
      <c r="HX142" s="371"/>
      <c r="HY142" s="371"/>
      <c r="HZ142" s="371"/>
      <c r="IA142" s="371"/>
      <c r="IB142" s="371"/>
      <c r="IC142" s="371"/>
      <c r="ID142" s="371"/>
      <c r="IE142" s="371"/>
      <c r="IF142" s="371"/>
      <c r="IG142" s="371"/>
      <c r="IH142" s="371"/>
      <c r="II142" s="371"/>
      <c r="IJ142" s="371"/>
      <c r="IK142" s="371"/>
      <c r="IL142" s="371"/>
      <c r="IM142" s="371"/>
      <c r="IN142" s="371"/>
      <c r="IO142" s="371"/>
      <c r="IP142" s="371"/>
      <c r="IQ142" s="371"/>
      <c r="IR142" s="371"/>
      <c r="IS142" s="371"/>
      <c r="IT142" s="371"/>
      <c r="IU142" s="371"/>
      <c r="IV142" s="371"/>
    </row>
    <row r="143" spans="208:256" s="407" customFormat="1" ht="15.75">
      <c r="GZ143" s="371"/>
      <c r="HA143" s="371"/>
      <c r="HB143" s="371"/>
      <c r="HC143" s="371"/>
      <c r="HD143" s="371"/>
      <c r="HE143" s="371"/>
      <c r="HF143" s="371"/>
      <c r="HG143" s="371"/>
      <c r="HH143" s="371"/>
      <c r="HI143" s="371"/>
      <c r="HJ143" s="371"/>
      <c r="HK143" s="371"/>
      <c r="HL143" s="371"/>
      <c r="HM143" s="371"/>
      <c r="HN143" s="371"/>
      <c r="HO143" s="371"/>
      <c r="HP143" s="371"/>
      <c r="HQ143" s="371"/>
      <c r="HR143" s="371"/>
      <c r="HS143" s="371"/>
      <c r="HT143" s="371"/>
      <c r="HU143" s="371"/>
      <c r="HV143" s="371"/>
      <c r="HW143" s="371"/>
      <c r="HX143" s="371"/>
      <c r="HY143" s="371"/>
      <c r="HZ143" s="371"/>
      <c r="IA143" s="371"/>
      <c r="IB143" s="371"/>
      <c r="IC143" s="371"/>
      <c r="ID143" s="371"/>
      <c r="IE143" s="371"/>
      <c r="IF143" s="371"/>
      <c r="IG143" s="371"/>
      <c r="IH143" s="371"/>
      <c r="II143" s="371"/>
      <c r="IJ143" s="371"/>
      <c r="IK143" s="371"/>
      <c r="IL143" s="371"/>
      <c r="IM143" s="371"/>
      <c r="IN143" s="371"/>
      <c r="IO143" s="371"/>
      <c r="IP143" s="371"/>
      <c r="IQ143" s="371"/>
      <c r="IR143" s="371"/>
      <c r="IS143" s="371"/>
      <c r="IT143" s="371"/>
      <c r="IU143" s="371"/>
      <c r="IV143" s="371"/>
    </row>
    <row r="144" spans="208:256" s="407" customFormat="1" ht="15.75">
      <c r="GZ144" s="371"/>
      <c r="HA144" s="371"/>
      <c r="HB144" s="371"/>
      <c r="HC144" s="371"/>
      <c r="HD144" s="371"/>
      <c r="HE144" s="371"/>
      <c r="HF144" s="371"/>
      <c r="HG144" s="371"/>
      <c r="HH144" s="371"/>
      <c r="HI144" s="371"/>
      <c r="HJ144" s="371"/>
      <c r="HK144" s="371"/>
      <c r="HL144" s="371"/>
      <c r="HM144" s="371"/>
      <c r="HN144" s="371"/>
      <c r="HO144" s="371"/>
      <c r="HP144" s="371"/>
      <c r="HQ144" s="371"/>
      <c r="HR144" s="371"/>
      <c r="HS144" s="371"/>
      <c r="HT144" s="371"/>
      <c r="HU144" s="371"/>
      <c r="HV144" s="371"/>
      <c r="HW144" s="371"/>
      <c r="HX144" s="371"/>
      <c r="HY144" s="371"/>
      <c r="HZ144" s="371"/>
      <c r="IA144" s="371"/>
      <c r="IB144" s="371"/>
      <c r="IC144" s="371"/>
      <c r="ID144" s="371"/>
      <c r="IE144" s="371"/>
      <c r="IF144" s="371"/>
      <c r="IG144" s="371"/>
      <c r="IH144" s="371"/>
      <c r="II144" s="371"/>
      <c r="IJ144" s="371"/>
      <c r="IK144" s="371"/>
      <c r="IL144" s="371"/>
      <c r="IM144" s="371"/>
      <c r="IN144" s="371"/>
      <c r="IO144" s="371"/>
      <c r="IP144" s="371"/>
      <c r="IQ144" s="371"/>
      <c r="IR144" s="371"/>
      <c r="IS144" s="371"/>
      <c r="IT144" s="371"/>
      <c r="IU144" s="371"/>
      <c r="IV144" s="371"/>
    </row>
    <row r="145" spans="208:256" s="407" customFormat="1" ht="15.75">
      <c r="GZ145" s="371"/>
      <c r="HA145" s="371"/>
      <c r="HB145" s="371"/>
      <c r="HC145" s="371"/>
      <c r="HD145" s="371"/>
      <c r="HE145" s="371"/>
      <c r="HF145" s="371"/>
      <c r="HG145" s="371"/>
      <c r="HH145" s="371"/>
      <c r="HI145" s="371"/>
      <c r="HJ145" s="371"/>
      <c r="HK145" s="371"/>
      <c r="HL145" s="371"/>
      <c r="HM145" s="371"/>
      <c r="HN145" s="371"/>
      <c r="HO145" s="371"/>
      <c r="HP145" s="371"/>
      <c r="HQ145" s="371"/>
      <c r="HR145" s="371"/>
      <c r="HS145" s="371"/>
      <c r="HT145" s="371"/>
      <c r="HU145" s="371"/>
      <c r="HV145" s="371"/>
      <c r="HW145" s="371"/>
      <c r="HX145" s="371"/>
      <c r="HY145" s="371"/>
      <c r="HZ145" s="371"/>
      <c r="IA145" s="371"/>
      <c r="IB145" s="371"/>
      <c r="IC145" s="371"/>
      <c r="ID145" s="371"/>
      <c r="IE145" s="371"/>
      <c r="IF145" s="371"/>
      <c r="IG145" s="371"/>
      <c r="IH145" s="371"/>
      <c r="II145" s="371"/>
      <c r="IJ145" s="371"/>
      <c r="IK145" s="371"/>
      <c r="IL145" s="371"/>
      <c r="IM145" s="371"/>
      <c r="IN145" s="371"/>
      <c r="IO145" s="371"/>
      <c r="IP145" s="371"/>
      <c r="IQ145" s="371"/>
      <c r="IR145" s="371"/>
      <c r="IS145" s="371"/>
      <c r="IT145" s="371"/>
      <c r="IU145" s="371"/>
      <c r="IV145" s="371"/>
    </row>
    <row r="146" spans="208:256" s="407" customFormat="1" ht="15.75">
      <c r="GZ146" s="371"/>
      <c r="HA146" s="371"/>
      <c r="HB146" s="371"/>
      <c r="HC146" s="371"/>
      <c r="HD146" s="371"/>
      <c r="HE146" s="371"/>
      <c r="HF146" s="371"/>
      <c r="HG146" s="371"/>
      <c r="HH146" s="371"/>
      <c r="HI146" s="371"/>
      <c r="HJ146" s="371"/>
      <c r="HK146" s="371"/>
      <c r="HL146" s="371"/>
      <c r="HM146" s="371"/>
      <c r="HN146" s="371"/>
      <c r="HO146" s="371"/>
      <c r="HP146" s="371"/>
      <c r="HQ146" s="371"/>
      <c r="HR146" s="371"/>
      <c r="HS146" s="371"/>
      <c r="HT146" s="371"/>
      <c r="HU146" s="371"/>
      <c r="HV146" s="371"/>
      <c r="HW146" s="371"/>
      <c r="HX146" s="371"/>
      <c r="HY146" s="371"/>
      <c r="HZ146" s="371"/>
      <c r="IA146" s="371"/>
      <c r="IB146" s="371"/>
      <c r="IC146" s="371"/>
      <c r="ID146" s="371"/>
      <c r="IE146" s="371"/>
      <c r="IF146" s="371"/>
      <c r="IG146" s="371"/>
      <c r="IH146" s="371"/>
      <c r="II146" s="371"/>
      <c r="IJ146" s="371"/>
      <c r="IK146" s="371"/>
      <c r="IL146" s="371"/>
      <c r="IM146" s="371"/>
      <c r="IN146" s="371"/>
      <c r="IO146" s="371"/>
      <c r="IP146" s="371"/>
      <c r="IQ146" s="371"/>
      <c r="IR146" s="371"/>
      <c r="IS146" s="371"/>
      <c r="IT146" s="371"/>
      <c r="IU146" s="371"/>
      <c r="IV146" s="371"/>
    </row>
    <row r="147" spans="208:256" s="407" customFormat="1" ht="15.75">
      <c r="GZ147" s="371"/>
      <c r="HA147" s="371"/>
      <c r="HB147" s="371"/>
      <c r="HC147" s="371"/>
      <c r="HD147" s="371"/>
      <c r="HE147" s="371"/>
      <c r="HF147" s="371"/>
      <c r="HG147" s="371"/>
      <c r="HH147" s="371"/>
      <c r="HI147" s="371"/>
      <c r="HJ147" s="371"/>
      <c r="HK147" s="371"/>
      <c r="HL147" s="371"/>
      <c r="HM147" s="371"/>
      <c r="HN147" s="371"/>
      <c r="HO147" s="371"/>
      <c r="HP147" s="371"/>
      <c r="HQ147" s="371"/>
      <c r="HR147" s="371"/>
      <c r="HS147" s="371"/>
      <c r="HT147" s="371"/>
      <c r="HU147" s="371"/>
      <c r="HV147" s="371"/>
      <c r="HW147" s="371"/>
      <c r="HX147" s="371"/>
      <c r="HY147" s="371"/>
      <c r="HZ147" s="371"/>
      <c r="IA147" s="371"/>
      <c r="IB147" s="371"/>
      <c r="IC147" s="371"/>
      <c r="ID147" s="371"/>
      <c r="IE147" s="371"/>
      <c r="IF147" s="371"/>
      <c r="IG147" s="371"/>
      <c r="IH147" s="371"/>
      <c r="II147" s="371"/>
      <c r="IJ147" s="371"/>
      <c r="IK147" s="371"/>
      <c r="IL147" s="371"/>
      <c r="IM147" s="371"/>
      <c r="IN147" s="371"/>
      <c r="IO147" s="371"/>
      <c r="IP147" s="371"/>
      <c r="IQ147" s="371"/>
      <c r="IR147" s="371"/>
      <c r="IS147" s="371"/>
      <c r="IT147" s="371"/>
      <c r="IU147" s="371"/>
      <c r="IV147" s="371"/>
    </row>
    <row r="148" spans="208:256" s="407" customFormat="1" ht="15.75">
      <c r="GZ148" s="371"/>
      <c r="HA148" s="371"/>
      <c r="HB148" s="371"/>
      <c r="HC148" s="371"/>
      <c r="HD148" s="371"/>
      <c r="HE148" s="371"/>
      <c r="HF148" s="371"/>
      <c r="HG148" s="371"/>
      <c r="HH148" s="371"/>
      <c r="HI148" s="371"/>
      <c r="HJ148" s="371"/>
      <c r="HK148" s="371"/>
      <c r="HL148" s="371"/>
      <c r="HM148" s="371"/>
      <c r="HN148" s="371"/>
      <c r="HO148" s="371"/>
      <c r="HP148" s="371"/>
      <c r="HQ148" s="371"/>
      <c r="HR148" s="371"/>
      <c r="HS148" s="371"/>
      <c r="HT148" s="371"/>
      <c r="HU148" s="371"/>
      <c r="HV148" s="371"/>
      <c r="HW148" s="371"/>
      <c r="HX148" s="371"/>
      <c r="HY148" s="371"/>
      <c r="HZ148" s="371"/>
      <c r="IA148" s="371"/>
      <c r="IB148" s="371"/>
      <c r="IC148" s="371"/>
      <c r="ID148" s="371"/>
      <c r="IE148" s="371"/>
      <c r="IF148" s="371"/>
      <c r="IG148" s="371"/>
      <c r="IH148" s="371"/>
      <c r="II148" s="371"/>
      <c r="IJ148" s="371"/>
      <c r="IK148" s="371"/>
      <c r="IL148" s="371"/>
      <c r="IM148" s="371"/>
      <c r="IN148" s="371"/>
      <c r="IO148" s="371"/>
      <c r="IP148" s="371"/>
      <c r="IQ148" s="371"/>
      <c r="IR148" s="371"/>
      <c r="IS148" s="371"/>
      <c r="IT148" s="371"/>
      <c r="IU148" s="371"/>
      <c r="IV148" s="371"/>
    </row>
    <row r="149" spans="208:256" s="407" customFormat="1" ht="15.75">
      <c r="GZ149" s="371"/>
      <c r="HA149" s="371"/>
      <c r="HB149" s="371"/>
      <c r="HC149" s="371"/>
      <c r="HD149" s="371"/>
      <c r="HE149" s="371"/>
      <c r="HF149" s="371"/>
      <c r="HG149" s="371"/>
      <c r="HH149" s="371"/>
      <c r="HI149" s="371"/>
      <c r="HJ149" s="371"/>
      <c r="HK149" s="371"/>
      <c r="HL149" s="371"/>
      <c r="HM149" s="371"/>
      <c r="HN149" s="371"/>
      <c r="HO149" s="371"/>
      <c r="HP149" s="371"/>
      <c r="HQ149" s="371"/>
      <c r="HR149" s="371"/>
      <c r="HS149" s="371"/>
      <c r="HT149" s="371"/>
      <c r="HU149" s="371"/>
      <c r="HV149" s="371"/>
      <c r="HW149" s="371"/>
      <c r="HX149" s="371"/>
      <c r="HY149" s="371"/>
      <c r="HZ149" s="371"/>
      <c r="IA149" s="371"/>
      <c r="IB149" s="371"/>
      <c r="IC149" s="371"/>
      <c r="ID149" s="371"/>
      <c r="IE149" s="371"/>
      <c r="IF149" s="371"/>
      <c r="IG149" s="371"/>
      <c r="IH149" s="371"/>
      <c r="II149" s="371"/>
      <c r="IJ149" s="371"/>
      <c r="IK149" s="371"/>
      <c r="IL149" s="371"/>
      <c r="IM149" s="371"/>
      <c r="IN149" s="371"/>
      <c r="IO149" s="371"/>
      <c r="IP149" s="371"/>
      <c r="IQ149" s="371"/>
      <c r="IR149" s="371"/>
      <c r="IS149" s="371"/>
      <c r="IT149" s="371"/>
      <c r="IU149" s="371"/>
      <c r="IV149" s="371"/>
    </row>
    <row r="150" spans="208:256" s="407" customFormat="1" ht="15.75">
      <c r="GZ150" s="371"/>
      <c r="HA150" s="371"/>
      <c r="HB150" s="371"/>
      <c r="HC150" s="371"/>
      <c r="HD150" s="371"/>
      <c r="HE150" s="371"/>
      <c r="HF150" s="371"/>
      <c r="HG150" s="371"/>
      <c r="HH150" s="371"/>
      <c r="HI150" s="371"/>
      <c r="HJ150" s="371"/>
      <c r="HK150" s="371"/>
      <c r="HL150" s="371"/>
      <c r="HM150" s="371"/>
      <c r="HN150" s="371"/>
      <c r="HO150" s="371"/>
      <c r="HP150" s="371"/>
      <c r="HQ150" s="371"/>
      <c r="HR150" s="371"/>
      <c r="HS150" s="371"/>
      <c r="HT150" s="371"/>
      <c r="HU150" s="371"/>
      <c r="HV150" s="371"/>
      <c r="HW150" s="371"/>
      <c r="HX150" s="371"/>
      <c r="HY150" s="371"/>
      <c r="HZ150" s="371"/>
      <c r="IA150" s="371"/>
      <c r="IB150" s="371"/>
      <c r="IC150" s="371"/>
      <c r="ID150" s="371"/>
      <c r="IE150" s="371"/>
      <c r="IF150" s="371"/>
      <c r="IG150" s="371"/>
      <c r="IH150" s="371"/>
      <c r="II150" s="371"/>
      <c r="IJ150" s="371"/>
      <c r="IK150" s="371"/>
      <c r="IL150" s="371"/>
      <c r="IM150" s="371"/>
      <c r="IN150" s="371"/>
      <c r="IO150" s="371"/>
      <c r="IP150" s="371"/>
      <c r="IQ150" s="371"/>
      <c r="IR150" s="371"/>
      <c r="IS150" s="371"/>
      <c r="IT150" s="371"/>
      <c r="IU150" s="371"/>
      <c r="IV150" s="371"/>
    </row>
    <row r="151" spans="208:256" s="407" customFormat="1" ht="15.75">
      <c r="GZ151" s="371"/>
      <c r="HA151" s="371"/>
      <c r="HB151" s="371"/>
      <c r="HC151" s="371"/>
      <c r="HD151" s="371"/>
      <c r="HE151" s="371"/>
      <c r="HF151" s="371"/>
      <c r="HG151" s="371"/>
      <c r="HH151" s="371"/>
      <c r="HI151" s="371"/>
      <c r="HJ151" s="371"/>
      <c r="HK151" s="371"/>
      <c r="HL151" s="371"/>
      <c r="HM151" s="371"/>
      <c r="HN151" s="371"/>
      <c r="HO151" s="371"/>
      <c r="HP151" s="371"/>
      <c r="HQ151" s="371"/>
      <c r="HR151" s="371"/>
      <c r="HS151" s="371"/>
      <c r="HT151" s="371"/>
      <c r="HU151" s="371"/>
      <c r="HV151" s="371"/>
      <c r="HW151" s="371"/>
      <c r="HX151" s="371"/>
      <c r="HY151" s="371"/>
      <c r="HZ151" s="371"/>
      <c r="IA151" s="371"/>
      <c r="IB151" s="371"/>
      <c r="IC151" s="371"/>
      <c r="ID151" s="371"/>
      <c r="IE151" s="371"/>
      <c r="IF151" s="371"/>
      <c r="IG151" s="371"/>
      <c r="IH151" s="371"/>
      <c r="II151" s="371"/>
      <c r="IJ151" s="371"/>
      <c r="IK151" s="371"/>
      <c r="IL151" s="371"/>
      <c r="IM151" s="371"/>
      <c r="IN151" s="371"/>
      <c r="IO151" s="371"/>
      <c r="IP151" s="371"/>
      <c r="IQ151" s="371"/>
      <c r="IR151" s="371"/>
      <c r="IS151" s="371"/>
      <c r="IT151" s="371"/>
      <c r="IU151" s="371"/>
      <c r="IV151" s="371"/>
    </row>
    <row r="152" spans="208:256" s="407" customFormat="1" ht="15.75">
      <c r="GZ152" s="371"/>
      <c r="HA152" s="371"/>
      <c r="HB152" s="371"/>
      <c r="HC152" s="371"/>
      <c r="HD152" s="371"/>
      <c r="HE152" s="371"/>
      <c r="HF152" s="371"/>
      <c r="HG152" s="371"/>
      <c r="HH152" s="371"/>
      <c r="HI152" s="371"/>
      <c r="HJ152" s="371"/>
      <c r="HK152" s="371"/>
      <c r="HL152" s="371"/>
      <c r="HM152" s="371"/>
      <c r="HN152" s="371"/>
      <c r="HO152" s="371"/>
      <c r="HP152" s="371"/>
      <c r="HQ152" s="371"/>
      <c r="HR152" s="371"/>
      <c r="HS152" s="371"/>
      <c r="HT152" s="371"/>
      <c r="HU152" s="371"/>
      <c r="HV152" s="371"/>
      <c r="HW152" s="371"/>
      <c r="HX152" s="371"/>
      <c r="HY152" s="371"/>
      <c r="HZ152" s="371"/>
      <c r="IA152" s="371"/>
      <c r="IB152" s="371"/>
      <c r="IC152" s="371"/>
      <c r="ID152" s="371"/>
      <c r="IE152" s="371"/>
      <c r="IF152" s="371"/>
      <c r="IG152" s="371"/>
      <c r="IH152" s="371"/>
      <c r="II152" s="371"/>
      <c r="IJ152" s="371"/>
      <c r="IK152" s="371"/>
      <c r="IL152" s="371"/>
      <c r="IM152" s="371"/>
      <c r="IN152" s="371"/>
      <c r="IO152" s="371"/>
      <c r="IP152" s="371"/>
      <c r="IQ152" s="371"/>
      <c r="IR152" s="371"/>
      <c r="IS152" s="371"/>
      <c r="IT152" s="371"/>
      <c r="IU152" s="371"/>
      <c r="IV152" s="371"/>
    </row>
    <row r="153" spans="208:256" s="407" customFormat="1" ht="15.75">
      <c r="GZ153" s="371"/>
      <c r="HA153" s="371"/>
      <c r="HB153" s="371"/>
      <c r="HC153" s="371"/>
      <c r="HD153" s="371"/>
      <c r="HE153" s="371"/>
      <c r="HF153" s="371"/>
      <c r="HG153" s="371"/>
      <c r="HH153" s="371"/>
      <c r="HI153" s="371"/>
      <c r="HJ153" s="371"/>
      <c r="HK153" s="371"/>
      <c r="HL153" s="371"/>
      <c r="HM153" s="371"/>
      <c r="HN153" s="371"/>
      <c r="HO153" s="371"/>
      <c r="HP153" s="371"/>
      <c r="HQ153" s="371"/>
      <c r="HR153" s="371"/>
      <c r="HS153" s="371"/>
      <c r="HT153" s="371"/>
      <c r="HU153" s="371"/>
      <c r="HV153" s="371"/>
      <c r="HW153" s="371"/>
      <c r="HX153" s="371"/>
      <c r="HY153" s="371"/>
      <c r="HZ153" s="371"/>
      <c r="IA153" s="371"/>
      <c r="IB153" s="371"/>
      <c r="IC153" s="371"/>
      <c r="ID153" s="371"/>
      <c r="IE153" s="371"/>
      <c r="IF153" s="371"/>
      <c r="IG153" s="371"/>
      <c r="IH153" s="371"/>
      <c r="II153" s="371"/>
      <c r="IJ153" s="371"/>
      <c r="IK153" s="371"/>
      <c r="IL153" s="371"/>
      <c r="IM153" s="371"/>
      <c r="IN153" s="371"/>
      <c r="IO153" s="371"/>
      <c r="IP153" s="371"/>
      <c r="IQ153" s="371"/>
      <c r="IR153" s="371"/>
      <c r="IS153" s="371"/>
      <c r="IT153" s="371"/>
      <c r="IU153" s="371"/>
      <c r="IV153" s="371"/>
    </row>
    <row r="154" spans="208:256" s="407" customFormat="1" ht="15.75">
      <c r="GZ154" s="371"/>
      <c r="HA154" s="371"/>
      <c r="HB154" s="371"/>
      <c r="HC154" s="371"/>
      <c r="HD154" s="371"/>
      <c r="HE154" s="371"/>
      <c r="HF154" s="371"/>
      <c r="HG154" s="371"/>
      <c r="HH154" s="371"/>
      <c r="HI154" s="371"/>
      <c r="HJ154" s="371"/>
      <c r="HK154" s="371"/>
      <c r="HL154" s="371"/>
      <c r="HM154" s="371"/>
      <c r="HN154" s="371"/>
      <c r="HO154" s="371"/>
      <c r="HP154" s="371"/>
      <c r="HQ154" s="371"/>
      <c r="HR154" s="371"/>
      <c r="HS154" s="371"/>
      <c r="HT154" s="371"/>
      <c r="HU154" s="371"/>
      <c r="HV154" s="371"/>
      <c r="HW154" s="371"/>
      <c r="HX154" s="371"/>
      <c r="HY154" s="371"/>
      <c r="HZ154" s="371"/>
      <c r="IA154" s="371"/>
      <c r="IB154" s="371"/>
      <c r="IC154" s="371"/>
      <c r="ID154" s="371"/>
      <c r="IE154" s="371"/>
      <c r="IF154" s="371"/>
      <c r="IG154" s="371"/>
      <c r="IH154" s="371"/>
      <c r="II154" s="371"/>
      <c r="IJ154" s="371"/>
      <c r="IK154" s="371"/>
      <c r="IL154" s="371"/>
      <c r="IM154" s="371"/>
      <c r="IN154" s="371"/>
      <c r="IO154" s="371"/>
      <c r="IP154" s="371"/>
      <c r="IQ154" s="371"/>
      <c r="IR154" s="371"/>
      <c r="IS154" s="371"/>
      <c r="IT154" s="371"/>
      <c r="IU154" s="371"/>
      <c r="IV154" s="371"/>
    </row>
    <row r="155" spans="208:256" s="407" customFormat="1" ht="15.75">
      <c r="GZ155" s="371"/>
      <c r="HA155" s="371"/>
      <c r="HB155" s="371"/>
      <c r="HC155" s="371"/>
      <c r="HD155" s="371"/>
      <c r="HE155" s="371"/>
      <c r="HF155" s="371"/>
      <c r="HG155" s="371"/>
      <c r="HH155" s="371"/>
      <c r="HI155" s="371"/>
      <c r="HJ155" s="371"/>
      <c r="HK155" s="371"/>
      <c r="HL155" s="371"/>
      <c r="HM155" s="371"/>
      <c r="HN155" s="371"/>
      <c r="HO155" s="371"/>
      <c r="HP155" s="371"/>
      <c r="HQ155" s="371"/>
      <c r="HR155" s="371"/>
      <c r="HS155" s="371"/>
      <c r="HT155" s="371"/>
      <c r="HU155" s="371"/>
      <c r="HV155" s="371"/>
      <c r="HW155" s="371"/>
      <c r="HX155" s="371"/>
      <c r="HY155" s="371"/>
      <c r="HZ155" s="371"/>
      <c r="IA155" s="371"/>
      <c r="IB155" s="371"/>
      <c r="IC155" s="371"/>
      <c r="ID155" s="371"/>
      <c r="IE155" s="371"/>
      <c r="IF155" s="371"/>
      <c r="IG155" s="371"/>
      <c r="IH155" s="371"/>
      <c r="II155" s="371"/>
      <c r="IJ155" s="371"/>
      <c r="IK155" s="371"/>
      <c r="IL155" s="371"/>
      <c r="IM155" s="371"/>
      <c r="IN155" s="371"/>
      <c r="IO155" s="371"/>
      <c r="IP155" s="371"/>
      <c r="IQ155" s="371"/>
      <c r="IR155" s="371"/>
      <c r="IS155" s="371"/>
      <c r="IT155" s="371"/>
      <c r="IU155" s="371"/>
      <c r="IV155" s="371"/>
    </row>
    <row r="156" spans="208:256" s="407" customFormat="1" ht="15.75">
      <c r="GZ156" s="371"/>
      <c r="HA156" s="371"/>
      <c r="HB156" s="371"/>
      <c r="HC156" s="371"/>
      <c r="HD156" s="371"/>
      <c r="HE156" s="371"/>
      <c r="HF156" s="371"/>
      <c r="HG156" s="371"/>
      <c r="HH156" s="371"/>
      <c r="HI156" s="371"/>
      <c r="HJ156" s="371"/>
      <c r="HK156" s="371"/>
      <c r="HL156" s="371"/>
      <c r="HM156" s="371"/>
      <c r="HN156" s="371"/>
      <c r="HO156" s="371"/>
      <c r="HP156" s="371"/>
      <c r="HQ156" s="371"/>
      <c r="HR156" s="371"/>
      <c r="HS156" s="371"/>
      <c r="HT156" s="371"/>
      <c r="HU156" s="371"/>
      <c r="HV156" s="371"/>
      <c r="HW156" s="371"/>
      <c r="HX156" s="371"/>
      <c r="HY156" s="371"/>
      <c r="HZ156" s="371"/>
      <c r="IA156" s="371"/>
      <c r="IB156" s="371"/>
      <c r="IC156" s="371"/>
      <c r="ID156" s="371"/>
      <c r="IE156" s="371"/>
      <c r="IF156" s="371"/>
      <c r="IG156" s="371"/>
      <c r="IH156" s="371"/>
      <c r="II156" s="371"/>
      <c r="IJ156" s="371"/>
      <c r="IK156" s="371"/>
      <c r="IL156" s="371"/>
      <c r="IM156" s="371"/>
      <c r="IN156" s="371"/>
      <c r="IO156" s="371"/>
      <c r="IP156" s="371"/>
      <c r="IQ156" s="371"/>
      <c r="IR156" s="371"/>
      <c r="IS156" s="371"/>
      <c r="IT156" s="371"/>
      <c r="IU156" s="371"/>
      <c r="IV156" s="371"/>
    </row>
    <row r="157" spans="208:256" s="407" customFormat="1" ht="15.75">
      <c r="GZ157" s="371"/>
      <c r="HA157" s="371"/>
      <c r="HB157" s="371"/>
      <c r="HC157" s="371"/>
      <c r="HD157" s="371"/>
      <c r="HE157" s="371"/>
      <c r="HF157" s="371"/>
      <c r="HG157" s="371"/>
      <c r="HH157" s="371"/>
      <c r="HI157" s="371"/>
      <c r="HJ157" s="371"/>
      <c r="HK157" s="371"/>
      <c r="HL157" s="371"/>
      <c r="HM157" s="371"/>
      <c r="HN157" s="371"/>
      <c r="HO157" s="371"/>
      <c r="HP157" s="371"/>
      <c r="HQ157" s="371"/>
      <c r="HR157" s="371"/>
      <c r="HS157" s="371"/>
      <c r="HT157" s="371"/>
      <c r="HU157" s="371"/>
      <c r="HV157" s="371"/>
      <c r="HW157" s="371"/>
      <c r="HX157" s="371"/>
      <c r="HY157" s="371"/>
      <c r="HZ157" s="371"/>
      <c r="IA157" s="371"/>
      <c r="IB157" s="371"/>
      <c r="IC157" s="371"/>
      <c r="ID157" s="371"/>
      <c r="IE157" s="371"/>
      <c r="IF157" s="371"/>
      <c r="IG157" s="371"/>
      <c r="IH157" s="371"/>
      <c r="II157" s="371"/>
      <c r="IJ157" s="371"/>
      <c r="IK157" s="371"/>
      <c r="IL157" s="371"/>
      <c r="IM157" s="371"/>
      <c r="IN157" s="371"/>
      <c r="IO157" s="371"/>
      <c r="IP157" s="371"/>
      <c r="IQ157" s="371"/>
      <c r="IR157" s="371"/>
      <c r="IS157" s="371"/>
      <c r="IT157" s="371"/>
      <c r="IU157" s="371"/>
      <c r="IV157" s="371"/>
    </row>
    <row r="158" spans="208:256" s="407" customFormat="1" ht="15.75">
      <c r="GZ158" s="371"/>
      <c r="HA158" s="371"/>
      <c r="HB158" s="371"/>
      <c r="HC158" s="371"/>
      <c r="HD158" s="371"/>
      <c r="HE158" s="371"/>
      <c r="HF158" s="371"/>
      <c r="HG158" s="371"/>
      <c r="HH158" s="371"/>
      <c r="HI158" s="371"/>
      <c r="HJ158" s="371"/>
      <c r="HK158" s="371"/>
      <c r="HL158" s="371"/>
      <c r="HM158" s="371"/>
      <c r="HN158" s="371"/>
      <c r="HO158" s="371"/>
      <c r="HP158" s="371"/>
      <c r="HQ158" s="371"/>
      <c r="HR158" s="371"/>
      <c r="HS158" s="371"/>
      <c r="HT158" s="371"/>
      <c r="HU158" s="371"/>
      <c r="HV158" s="371"/>
      <c r="HW158" s="371"/>
      <c r="HX158" s="371"/>
      <c r="HY158" s="371"/>
      <c r="HZ158" s="371"/>
      <c r="IA158" s="371"/>
      <c r="IB158" s="371"/>
      <c r="IC158" s="371"/>
      <c r="ID158" s="371"/>
      <c r="IE158" s="371"/>
      <c r="IF158" s="371"/>
      <c r="IG158" s="371"/>
      <c r="IH158" s="371"/>
      <c r="II158" s="371"/>
      <c r="IJ158" s="371"/>
      <c r="IK158" s="371"/>
      <c r="IL158" s="371"/>
      <c r="IM158" s="371"/>
      <c r="IN158" s="371"/>
      <c r="IO158" s="371"/>
      <c r="IP158" s="371"/>
      <c r="IQ158" s="371"/>
      <c r="IR158" s="371"/>
      <c r="IS158" s="371"/>
      <c r="IT158" s="371"/>
      <c r="IU158" s="371"/>
      <c r="IV158" s="371"/>
    </row>
    <row r="159" spans="208:256" s="407" customFormat="1" ht="15.75">
      <c r="GZ159" s="371"/>
      <c r="HA159" s="371"/>
      <c r="HB159" s="371"/>
      <c r="HC159" s="371"/>
      <c r="HD159" s="371"/>
      <c r="HE159" s="371"/>
      <c r="HF159" s="371"/>
      <c r="HG159" s="371"/>
      <c r="HH159" s="371"/>
      <c r="HI159" s="371"/>
      <c r="HJ159" s="371"/>
      <c r="HK159" s="371"/>
      <c r="HL159" s="371"/>
      <c r="HM159" s="371"/>
      <c r="HN159" s="371"/>
      <c r="HO159" s="371"/>
      <c r="HP159" s="371"/>
      <c r="HQ159" s="371"/>
      <c r="HR159" s="371"/>
      <c r="HS159" s="371"/>
      <c r="HT159" s="371"/>
      <c r="HU159" s="371"/>
      <c r="HV159" s="371"/>
      <c r="HW159" s="371"/>
      <c r="HX159" s="371"/>
      <c r="HY159" s="371"/>
      <c r="HZ159" s="371"/>
      <c r="IA159" s="371"/>
      <c r="IB159" s="371"/>
      <c r="IC159" s="371"/>
      <c r="ID159" s="371"/>
      <c r="IE159" s="371"/>
      <c r="IF159" s="371"/>
      <c r="IG159" s="371"/>
      <c r="IH159" s="371"/>
      <c r="II159" s="371"/>
      <c r="IJ159" s="371"/>
      <c r="IK159" s="371"/>
      <c r="IL159" s="371"/>
      <c r="IM159" s="371"/>
      <c r="IN159" s="371"/>
      <c r="IO159" s="371"/>
      <c r="IP159" s="371"/>
      <c r="IQ159" s="371"/>
      <c r="IR159" s="371"/>
      <c r="IS159" s="371"/>
      <c r="IT159" s="371"/>
      <c r="IU159" s="371"/>
      <c r="IV159" s="371"/>
    </row>
    <row r="160" spans="208:256" s="407" customFormat="1" ht="15.75">
      <c r="GZ160" s="371"/>
      <c r="HA160" s="371"/>
      <c r="HB160" s="371"/>
      <c r="HC160" s="371"/>
      <c r="HD160" s="371"/>
      <c r="HE160" s="371"/>
      <c r="HF160" s="371"/>
      <c r="HG160" s="371"/>
      <c r="HH160" s="371"/>
      <c r="HI160" s="371"/>
      <c r="HJ160" s="371"/>
      <c r="HK160" s="371"/>
      <c r="HL160" s="371"/>
      <c r="HM160" s="371"/>
      <c r="HN160" s="371"/>
      <c r="HO160" s="371"/>
      <c r="HP160" s="371"/>
      <c r="HQ160" s="371"/>
      <c r="HR160" s="371"/>
      <c r="HS160" s="371"/>
      <c r="HT160" s="371"/>
      <c r="HU160" s="371"/>
      <c r="HV160" s="371"/>
      <c r="HW160" s="371"/>
      <c r="HX160" s="371"/>
      <c r="HY160" s="371"/>
      <c r="HZ160" s="371"/>
      <c r="IA160" s="371"/>
      <c r="IB160" s="371"/>
      <c r="IC160" s="371"/>
      <c r="ID160" s="371"/>
      <c r="IE160" s="371"/>
      <c r="IF160" s="371"/>
      <c r="IG160" s="371"/>
      <c r="IH160" s="371"/>
      <c r="II160" s="371"/>
      <c r="IJ160" s="371"/>
      <c r="IK160" s="371"/>
      <c r="IL160" s="371"/>
      <c r="IM160" s="371"/>
      <c r="IN160" s="371"/>
      <c r="IO160" s="371"/>
      <c r="IP160" s="371"/>
      <c r="IQ160" s="371"/>
      <c r="IR160" s="371"/>
      <c r="IS160" s="371"/>
      <c r="IT160" s="371"/>
      <c r="IU160" s="371"/>
      <c r="IV160" s="371"/>
    </row>
  </sheetData>
  <mergeCells count="13">
    <mergeCell ref="G5:K5"/>
    <mergeCell ref="L5:L6"/>
    <mergeCell ref="A30:L30"/>
    <mergeCell ref="A1:L1"/>
    <mergeCell ref="A2:L2"/>
    <mergeCell ref="A3:D3"/>
    <mergeCell ref="A4:A6"/>
    <mergeCell ref="B4:B6"/>
    <mergeCell ref="C4:C6"/>
    <mergeCell ref="D4:D6"/>
    <mergeCell ref="E4:E6"/>
    <mergeCell ref="F4:L4"/>
    <mergeCell ref="F5:F6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81" r:id="rId1"/>
  <headerFooter alignWithMargins="0">
    <oddFooter>&amp;C&amp;"Times New Roman,Normalny"&amp;12Strona &amp;P z &amp;N</oddFooter>
  </headerFooter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defaultGridColor="0" view="pageBreakPreview" zoomScale="90" zoomScaleSheetLayoutView="90" colorId="15" workbookViewId="0" topLeftCell="A1">
      <selection activeCell="N6" sqref="N6"/>
    </sheetView>
  </sheetViews>
  <sheetFormatPr defaultColWidth="9.00390625" defaultRowHeight="12.75"/>
  <cols>
    <col min="1" max="1" width="6.25390625" style="116" customWidth="1"/>
    <col min="2" max="2" width="7.25390625" style="116" customWidth="1"/>
    <col min="3" max="3" width="6.25390625" style="116" customWidth="1"/>
    <col min="4" max="4" width="57.125" style="116" customWidth="1"/>
    <col min="5" max="5" width="17.375" style="116" customWidth="1"/>
    <col min="6" max="7" width="11.125" style="116" customWidth="1"/>
    <col min="8" max="8" width="8.75390625" style="116" customWidth="1"/>
    <col min="9" max="9" width="8.00390625" style="116" customWidth="1"/>
    <col min="10" max="10" width="7.75390625" style="116" customWidth="1"/>
    <col min="11" max="11" width="7.25390625" style="116" customWidth="1"/>
    <col min="12" max="12" width="8.00390625" style="116" customWidth="1"/>
    <col min="13" max="254" width="9.00390625" style="116" customWidth="1"/>
  </cols>
  <sheetData>
    <row r="1" spans="1:12" ht="15" customHeight="1">
      <c r="A1" s="779" t="s">
        <v>737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</row>
    <row r="2" spans="1:12" ht="33" customHeight="1">
      <c r="A2" s="808" t="s">
        <v>710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</row>
    <row r="4" spans="1:11" ht="15" customHeight="1">
      <c r="A4" s="809" t="s">
        <v>707</v>
      </c>
      <c r="B4" s="809"/>
      <c r="C4" s="809"/>
      <c r="D4" s="809"/>
      <c r="K4" s="314" t="s">
        <v>274</v>
      </c>
    </row>
    <row r="5" spans="1:12" ht="15" customHeight="1">
      <c r="A5" s="781" t="s">
        <v>275</v>
      </c>
      <c r="B5" s="781" t="s">
        <v>296</v>
      </c>
      <c r="C5" s="782" t="s">
        <v>297</v>
      </c>
      <c r="D5" s="781" t="s">
        <v>711</v>
      </c>
      <c r="E5" s="781" t="s">
        <v>438</v>
      </c>
      <c r="F5" s="783" t="s">
        <v>300</v>
      </c>
      <c r="G5" s="783"/>
      <c r="H5" s="783"/>
      <c r="I5" s="783"/>
      <c r="J5" s="783"/>
      <c r="K5" s="783"/>
      <c r="L5" s="783"/>
    </row>
    <row r="6" spans="1:12" ht="15" customHeight="1">
      <c r="A6" s="781"/>
      <c r="B6" s="781"/>
      <c r="C6" s="782"/>
      <c r="D6" s="781"/>
      <c r="E6" s="781"/>
      <c r="F6" s="781" t="s">
        <v>636</v>
      </c>
      <c r="G6" s="784" t="s">
        <v>216</v>
      </c>
      <c r="H6" s="784"/>
      <c r="I6" s="784"/>
      <c r="J6" s="784"/>
      <c r="K6" s="784"/>
      <c r="L6" s="781" t="s">
        <v>465</v>
      </c>
    </row>
    <row r="7" spans="1:12" ht="84">
      <c r="A7" s="781"/>
      <c r="B7" s="781"/>
      <c r="C7" s="782"/>
      <c r="D7" s="781"/>
      <c r="E7" s="781"/>
      <c r="F7" s="781"/>
      <c r="G7" s="316" t="s">
        <v>472</v>
      </c>
      <c r="H7" s="316" t="s">
        <v>721</v>
      </c>
      <c r="I7" s="200" t="s">
        <v>474</v>
      </c>
      <c r="J7" s="318" t="s">
        <v>468</v>
      </c>
      <c r="K7" s="316" t="s">
        <v>722</v>
      </c>
      <c r="L7" s="781"/>
    </row>
    <row r="8" spans="1:12" ht="15.75">
      <c r="A8" s="436">
        <v>1</v>
      </c>
      <c r="B8" s="436">
        <v>2</v>
      </c>
      <c r="C8" s="436">
        <v>3</v>
      </c>
      <c r="D8" s="436">
        <v>4</v>
      </c>
      <c r="E8" s="436">
        <v>5</v>
      </c>
      <c r="F8" s="436">
        <v>6</v>
      </c>
      <c r="G8" s="436">
        <v>7</v>
      </c>
      <c r="H8" s="436">
        <v>8</v>
      </c>
      <c r="I8" s="436">
        <v>9</v>
      </c>
      <c r="J8" s="436">
        <v>10</v>
      </c>
      <c r="K8" s="436">
        <v>11</v>
      </c>
      <c r="L8" s="436">
        <v>12</v>
      </c>
    </row>
    <row r="9" spans="1:12" ht="15.75">
      <c r="A9" s="228">
        <v>801</v>
      </c>
      <c r="B9" s="228"/>
      <c r="C9" s="228"/>
      <c r="D9" s="229" t="s">
        <v>399</v>
      </c>
      <c r="E9" s="230">
        <f aca="true" t="shared" si="0" ref="E9:L9">E10+E32+E38+E53</f>
        <v>3456468.3073314996</v>
      </c>
      <c r="F9" s="230">
        <f t="shared" si="0"/>
        <v>3456468.3073314996</v>
      </c>
      <c r="G9" s="230">
        <f t="shared" si="0"/>
        <v>2332210</v>
      </c>
      <c r="H9" s="230">
        <f t="shared" si="0"/>
        <v>411344.6296</v>
      </c>
      <c r="I9" s="230">
        <f t="shared" si="0"/>
        <v>437455.582819</v>
      </c>
      <c r="J9" s="230">
        <f t="shared" si="0"/>
        <v>11032</v>
      </c>
      <c r="K9" s="230">
        <f t="shared" si="0"/>
        <v>0</v>
      </c>
      <c r="L9" s="230">
        <f t="shared" si="0"/>
        <v>0</v>
      </c>
    </row>
    <row r="10" spans="1:12" ht="15.75">
      <c r="A10" s="170"/>
      <c r="B10" s="170">
        <v>80110</v>
      </c>
      <c r="C10" s="170"/>
      <c r="D10" s="171" t="s">
        <v>407</v>
      </c>
      <c r="E10" s="232">
        <f aca="true" t="shared" si="1" ref="E10:L10">SUM(E11:E30)</f>
        <v>2931734.212419</v>
      </c>
      <c r="F10" s="232">
        <f t="shared" si="1"/>
        <v>2931734.212419</v>
      </c>
      <c r="G10" s="232">
        <f t="shared" si="1"/>
        <v>2117414</v>
      </c>
      <c r="H10" s="232">
        <f t="shared" si="1"/>
        <v>373423.6296</v>
      </c>
      <c r="I10" s="232">
        <f t="shared" si="1"/>
        <v>430964.582819</v>
      </c>
      <c r="J10" s="232">
        <f t="shared" si="1"/>
        <v>9932</v>
      </c>
      <c r="K10" s="232">
        <f t="shared" si="1"/>
        <v>0</v>
      </c>
      <c r="L10" s="232">
        <f t="shared" si="1"/>
        <v>0</v>
      </c>
    </row>
    <row r="11" spans="1:12" ht="15.75">
      <c r="A11" s="170"/>
      <c r="B11" s="170"/>
      <c r="C11" s="193">
        <v>3020</v>
      </c>
      <c r="D11" s="214" t="s">
        <v>561</v>
      </c>
      <c r="E11" s="70">
        <f aca="true" t="shared" si="2" ref="E11:E30">F11</f>
        <v>9932</v>
      </c>
      <c r="F11" s="70">
        <f>J11</f>
        <v>9932</v>
      </c>
      <c r="G11" s="70"/>
      <c r="H11" s="70"/>
      <c r="I11" s="233"/>
      <c r="J11" s="70">
        <v>9932</v>
      </c>
      <c r="K11" s="233"/>
      <c r="L11" s="70"/>
    </row>
    <row r="12" spans="1:12" ht="15.75">
      <c r="A12" s="193"/>
      <c r="B12" s="193"/>
      <c r="C12" s="193">
        <v>4010</v>
      </c>
      <c r="D12" s="214" t="s">
        <v>545</v>
      </c>
      <c r="E12" s="70">
        <f t="shared" si="2"/>
        <v>1972594</v>
      </c>
      <c r="F12" s="70">
        <f>G12</f>
        <v>1972594</v>
      </c>
      <c r="G12" s="70">
        <f>1605394+367200</f>
        <v>1972594</v>
      </c>
      <c r="H12" s="70"/>
      <c r="I12" s="233"/>
      <c r="J12" s="233"/>
      <c r="K12" s="233"/>
      <c r="L12" s="70"/>
    </row>
    <row r="13" spans="1:12" ht="15.75">
      <c r="A13" s="193"/>
      <c r="B13" s="193"/>
      <c r="C13" s="193">
        <v>4040</v>
      </c>
      <c r="D13" s="214" t="s">
        <v>562</v>
      </c>
      <c r="E13" s="70">
        <f t="shared" si="2"/>
        <v>144320</v>
      </c>
      <c r="F13" s="70">
        <f>G13</f>
        <v>144320</v>
      </c>
      <c r="G13" s="70">
        <v>144320</v>
      </c>
      <c r="H13" s="70"/>
      <c r="I13" s="233"/>
      <c r="J13" s="233"/>
      <c r="K13" s="233"/>
      <c r="L13" s="70"/>
    </row>
    <row r="14" spans="1:12" ht="15.75">
      <c r="A14" s="193"/>
      <c r="B14" s="193"/>
      <c r="C14" s="193">
        <v>4110</v>
      </c>
      <c r="D14" s="214" t="s">
        <v>563</v>
      </c>
      <c r="E14" s="70">
        <f t="shared" si="2"/>
        <v>321559.2366</v>
      </c>
      <c r="F14" s="70">
        <f>H14</f>
        <v>321559.2366</v>
      </c>
      <c r="G14" s="70"/>
      <c r="H14" s="70">
        <f>(G12+G13)*0.1519</f>
        <v>321559.2366</v>
      </c>
      <c r="I14" s="233"/>
      <c r="J14" s="233"/>
      <c r="K14" s="233"/>
      <c r="L14" s="70"/>
    </row>
    <row r="15" spans="1:12" ht="15.75">
      <c r="A15" s="193"/>
      <c r="B15" s="193"/>
      <c r="C15" s="193">
        <v>4120</v>
      </c>
      <c r="D15" s="214" t="s">
        <v>564</v>
      </c>
      <c r="E15" s="70">
        <f t="shared" si="2"/>
        <v>51864.393000000004</v>
      </c>
      <c r="F15" s="70">
        <f>H15</f>
        <v>51864.393000000004</v>
      </c>
      <c r="G15" s="70"/>
      <c r="H15" s="70">
        <f>(G13+G12)*0.0245</f>
        <v>51864.393000000004</v>
      </c>
      <c r="I15" s="233"/>
      <c r="J15" s="233"/>
      <c r="K15" s="233"/>
      <c r="L15" s="70"/>
    </row>
    <row r="16" spans="1:12" ht="15.75">
      <c r="A16" s="193"/>
      <c r="B16" s="193"/>
      <c r="C16" s="193">
        <v>4170</v>
      </c>
      <c r="D16" s="214" t="s">
        <v>565</v>
      </c>
      <c r="E16" s="70">
        <f t="shared" si="2"/>
        <v>500</v>
      </c>
      <c r="F16" s="70">
        <f>G16</f>
        <v>500</v>
      </c>
      <c r="G16" s="70">
        <v>500</v>
      </c>
      <c r="H16" s="70"/>
      <c r="I16" s="70"/>
      <c r="J16" s="233"/>
      <c r="K16" s="233"/>
      <c r="L16" s="70"/>
    </row>
    <row r="17" spans="1:12" ht="15.75">
      <c r="A17" s="193"/>
      <c r="B17" s="193"/>
      <c r="C17" s="193">
        <v>4210</v>
      </c>
      <c r="D17" s="214" t="s">
        <v>555</v>
      </c>
      <c r="E17" s="70">
        <f t="shared" si="2"/>
        <v>28000</v>
      </c>
      <c r="F17" s="70">
        <f aca="true" t="shared" si="3" ref="F17:F30">I17</f>
        <v>28000</v>
      </c>
      <c r="G17" s="70"/>
      <c r="H17" s="70"/>
      <c r="I17" s="70">
        <v>28000</v>
      </c>
      <c r="J17" s="233"/>
      <c r="K17" s="233"/>
      <c r="L17" s="70"/>
    </row>
    <row r="18" spans="1:12" ht="15.75">
      <c r="A18" s="193"/>
      <c r="B18" s="193"/>
      <c r="C18" s="193">
        <v>4240</v>
      </c>
      <c r="D18" s="214" t="s">
        <v>556</v>
      </c>
      <c r="E18" s="70">
        <f t="shared" si="2"/>
        <v>10000</v>
      </c>
      <c r="F18" s="70">
        <f t="shared" si="3"/>
        <v>10000</v>
      </c>
      <c r="G18" s="70"/>
      <c r="H18" s="70"/>
      <c r="I18" s="70">
        <v>10000</v>
      </c>
      <c r="J18" s="233"/>
      <c r="K18" s="233"/>
      <c r="L18" s="70"/>
    </row>
    <row r="19" spans="1:12" ht="15.75">
      <c r="A19" s="193"/>
      <c r="B19" s="193"/>
      <c r="C19" s="193">
        <v>4260</v>
      </c>
      <c r="D19" s="214" t="s">
        <v>567</v>
      </c>
      <c r="E19" s="70">
        <f t="shared" si="2"/>
        <v>195000</v>
      </c>
      <c r="F19" s="70">
        <f t="shared" si="3"/>
        <v>195000</v>
      </c>
      <c r="G19" s="70"/>
      <c r="H19" s="70"/>
      <c r="I19" s="70">
        <v>195000</v>
      </c>
      <c r="J19" s="233"/>
      <c r="K19" s="233"/>
      <c r="L19" s="70"/>
    </row>
    <row r="20" spans="1:12" ht="15.75">
      <c r="A20" s="193"/>
      <c r="B20" s="193"/>
      <c r="C20" s="193">
        <v>4270</v>
      </c>
      <c r="D20" s="214" t="s">
        <v>507</v>
      </c>
      <c r="E20" s="70">
        <f t="shared" si="2"/>
        <v>30000</v>
      </c>
      <c r="F20" s="70">
        <f t="shared" si="3"/>
        <v>30000</v>
      </c>
      <c r="G20" s="70"/>
      <c r="H20" s="70"/>
      <c r="I20" s="70">
        <v>30000</v>
      </c>
      <c r="J20" s="233"/>
      <c r="K20" s="233"/>
      <c r="L20" s="70"/>
    </row>
    <row r="21" spans="1:12" ht="15.75">
      <c r="A21" s="193"/>
      <c r="B21" s="193"/>
      <c r="C21" s="193">
        <v>4280</v>
      </c>
      <c r="D21" s="214" t="s">
        <v>568</v>
      </c>
      <c r="E21" s="70">
        <f t="shared" si="2"/>
        <v>2850</v>
      </c>
      <c r="F21" s="70">
        <f t="shared" si="3"/>
        <v>2850</v>
      </c>
      <c r="G21" s="70"/>
      <c r="H21" s="70"/>
      <c r="I21" s="70">
        <v>2850</v>
      </c>
      <c r="J21" s="233"/>
      <c r="K21" s="233"/>
      <c r="L21" s="70"/>
    </row>
    <row r="22" spans="1:12" ht="15.75">
      <c r="A22" s="193"/>
      <c r="B22" s="193"/>
      <c r="C22" s="193">
        <v>4300</v>
      </c>
      <c r="D22" s="214" t="s">
        <v>569</v>
      </c>
      <c r="E22" s="70">
        <f t="shared" si="2"/>
        <v>45000</v>
      </c>
      <c r="F22" s="70">
        <f t="shared" si="3"/>
        <v>45000</v>
      </c>
      <c r="G22" s="70"/>
      <c r="H22" s="70"/>
      <c r="I22" s="70">
        <v>45000</v>
      </c>
      <c r="J22" s="233"/>
      <c r="K22" s="233"/>
      <c r="L22" s="70"/>
    </row>
    <row r="23" spans="1:12" ht="15.75">
      <c r="A23" s="193"/>
      <c r="B23" s="193"/>
      <c r="C23" s="193">
        <v>4350</v>
      </c>
      <c r="D23" s="214" t="s">
        <v>570</v>
      </c>
      <c r="E23" s="70">
        <f t="shared" si="2"/>
        <v>1924</v>
      </c>
      <c r="F23" s="70">
        <f t="shared" si="3"/>
        <v>1924</v>
      </c>
      <c r="G23" s="70"/>
      <c r="H23" s="70"/>
      <c r="I23" s="70">
        <v>1924</v>
      </c>
      <c r="J23" s="233"/>
      <c r="K23" s="233"/>
      <c r="L23" s="70"/>
    </row>
    <row r="24" spans="1:12" ht="15.75">
      <c r="A24" s="193"/>
      <c r="B24" s="193"/>
      <c r="C24" s="193">
        <v>4370</v>
      </c>
      <c r="D24" s="214" t="s">
        <v>571</v>
      </c>
      <c r="E24" s="70">
        <f t="shared" si="2"/>
        <v>4000</v>
      </c>
      <c r="F24" s="70">
        <f t="shared" si="3"/>
        <v>4000</v>
      </c>
      <c r="G24" s="70"/>
      <c r="H24" s="70"/>
      <c r="I24" s="70">
        <v>4000</v>
      </c>
      <c r="J24" s="233"/>
      <c r="K24" s="233"/>
      <c r="L24" s="70"/>
    </row>
    <row r="25" spans="1:12" ht="15.75">
      <c r="A25" s="193"/>
      <c r="B25" s="193"/>
      <c r="C25" s="193">
        <v>4410</v>
      </c>
      <c r="D25" s="214" t="s">
        <v>572</v>
      </c>
      <c r="E25" s="70">
        <f t="shared" si="2"/>
        <v>2000</v>
      </c>
      <c r="F25" s="70">
        <f t="shared" si="3"/>
        <v>2000</v>
      </c>
      <c r="G25" s="70"/>
      <c r="H25" s="70"/>
      <c r="I25" s="70">
        <v>2000</v>
      </c>
      <c r="J25" s="233"/>
      <c r="K25" s="233"/>
      <c r="L25" s="70"/>
    </row>
    <row r="26" spans="1:12" ht="15.75">
      <c r="A26" s="193"/>
      <c r="B26" s="193"/>
      <c r="C26" s="193">
        <v>4430</v>
      </c>
      <c r="D26" s="214" t="s">
        <v>573</v>
      </c>
      <c r="E26" s="70">
        <f t="shared" si="2"/>
        <v>1508</v>
      </c>
      <c r="F26" s="70">
        <f t="shared" si="3"/>
        <v>1508</v>
      </c>
      <c r="G26" s="70"/>
      <c r="H26" s="70"/>
      <c r="I26" s="70">
        <v>1508</v>
      </c>
      <c r="J26" s="233"/>
      <c r="K26" s="233"/>
      <c r="L26" s="70"/>
    </row>
    <row r="27" spans="1:12" ht="15.75">
      <c r="A27" s="193"/>
      <c r="B27" s="193"/>
      <c r="C27" s="193">
        <v>4440</v>
      </c>
      <c r="D27" s="214" t="s">
        <v>574</v>
      </c>
      <c r="E27" s="70">
        <f t="shared" si="2"/>
        <v>92082.582819</v>
      </c>
      <c r="F27" s="70">
        <f t="shared" si="3"/>
        <v>92082.582819</v>
      </c>
      <c r="G27" s="70"/>
      <c r="H27" s="70"/>
      <c r="I27" s="241">
        <f>1000.04*10.75+2515.43*32.3333</f>
        <v>92082.582819</v>
      </c>
      <c r="J27" s="233"/>
      <c r="K27" s="233"/>
      <c r="L27" s="70"/>
    </row>
    <row r="28" spans="1:12" ht="31.5">
      <c r="A28" s="193"/>
      <c r="B28" s="193"/>
      <c r="C28" s="193">
        <v>4700</v>
      </c>
      <c r="D28" s="194" t="s">
        <v>519</v>
      </c>
      <c r="E28" s="70">
        <f t="shared" si="2"/>
        <v>2800</v>
      </c>
      <c r="F28" s="70">
        <f t="shared" si="3"/>
        <v>2800</v>
      </c>
      <c r="G28" s="70"/>
      <c r="H28" s="70"/>
      <c r="I28" s="70">
        <v>2800</v>
      </c>
      <c r="J28" s="233"/>
      <c r="K28" s="233"/>
      <c r="L28" s="70"/>
    </row>
    <row r="29" spans="1:12" ht="31.5">
      <c r="A29" s="193"/>
      <c r="B29" s="193"/>
      <c r="C29" s="193">
        <v>4740</v>
      </c>
      <c r="D29" s="194" t="s">
        <v>551</v>
      </c>
      <c r="E29" s="70">
        <f t="shared" si="2"/>
        <v>4000</v>
      </c>
      <c r="F29" s="70">
        <f t="shared" si="3"/>
        <v>4000</v>
      </c>
      <c r="G29" s="70"/>
      <c r="H29" s="70"/>
      <c r="I29" s="70">
        <v>4000</v>
      </c>
      <c r="J29" s="233"/>
      <c r="K29" s="233"/>
      <c r="L29" s="70"/>
    </row>
    <row r="30" spans="1:12" ht="31.5">
      <c r="A30" s="193"/>
      <c r="B30" s="193"/>
      <c r="C30" s="193">
        <v>4750</v>
      </c>
      <c r="D30" s="194" t="s">
        <v>552</v>
      </c>
      <c r="E30" s="70">
        <f t="shared" si="2"/>
        <v>11800</v>
      </c>
      <c r="F30" s="70">
        <f t="shared" si="3"/>
        <v>11800</v>
      </c>
      <c r="G30" s="70"/>
      <c r="H30" s="70"/>
      <c r="I30" s="70">
        <v>11800</v>
      </c>
      <c r="J30" s="233"/>
      <c r="K30" s="233"/>
      <c r="L30" s="70"/>
    </row>
    <row r="31" spans="1:12" ht="15.75" customHeight="1">
      <c r="A31" s="778" t="s">
        <v>738</v>
      </c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</row>
    <row r="32" spans="1:12" ht="15.75">
      <c r="A32" s="437"/>
      <c r="B32" s="170">
        <v>80146</v>
      </c>
      <c r="C32" s="170"/>
      <c r="D32" s="171" t="s">
        <v>584</v>
      </c>
      <c r="E32" s="232">
        <f aca="true" t="shared" si="4" ref="E32:L32">SUM(E33:E37)</f>
        <v>6491</v>
      </c>
      <c r="F32" s="232">
        <f t="shared" si="4"/>
        <v>6491</v>
      </c>
      <c r="G32" s="232">
        <f t="shared" si="4"/>
        <v>0</v>
      </c>
      <c r="H32" s="232">
        <f t="shared" si="4"/>
        <v>0</v>
      </c>
      <c r="I32" s="232">
        <f t="shared" si="4"/>
        <v>6491</v>
      </c>
      <c r="J32" s="232">
        <f t="shared" si="4"/>
        <v>0</v>
      </c>
      <c r="K32" s="232">
        <f t="shared" si="4"/>
        <v>0</v>
      </c>
      <c r="L32" s="232">
        <f t="shared" si="4"/>
        <v>0</v>
      </c>
    </row>
    <row r="33" spans="1:12" ht="15.75">
      <c r="A33" s="170"/>
      <c r="B33" s="170"/>
      <c r="C33" s="193">
        <v>4210</v>
      </c>
      <c r="D33" s="214" t="s">
        <v>555</v>
      </c>
      <c r="E33" s="70">
        <f>F33</f>
        <v>1700</v>
      </c>
      <c r="F33" s="70">
        <f>I33</f>
        <v>1700</v>
      </c>
      <c r="G33" s="70"/>
      <c r="H33" s="70"/>
      <c r="I33" s="70">
        <v>1700</v>
      </c>
      <c r="J33" s="233"/>
      <c r="K33" s="233"/>
      <c r="L33" s="70"/>
    </row>
    <row r="34" spans="1:12" ht="15.75">
      <c r="A34" s="170"/>
      <c r="B34" s="170"/>
      <c r="C34" s="310">
        <v>4240</v>
      </c>
      <c r="D34" s="240" t="s">
        <v>556</v>
      </c>
      <c r="E34" s="70">
        <f>F34</f>
        <v>0</v>
      </c>
      <c r="F34" s="70">
        <f>I34</f>
        <v>0</v>
      </c>
      <c r="G34" s="70"/>
      <c r="H34" s="70"/>
      <c r="I34" s="70">
        <v>0</v>
      </c>
      <c r="J34" s="233"/>
      <c r="K34" s="233"/>
      <c r="L34" s="70"/>
    </row>
    <row r="35" spans="1:12" ht="15.75">
      <c r="A35" s="193"/>
      <c r="B35" s="193"/>
      <c r="C35" s="193">
        <v>4300</v>
      </c>
      <c r="D35" s="214" t="s">
        <v>569</v>
      </c>
      <c r="E35" s="70">
        <f>F35</f>
        <v>2100</v>
      </c>
      <c r="F35" s="70">
        <f>I35</f>
        <v>2100</v>
      </c>
      <c r="G35" s="70"/>
      <c r="H35" s="70"/>
      <c r="I35" s="70">
        <v>2100</v>
      </c>
      <c r="J35" s="233"/>
      <c r="K35" s="233"/>
      <c r="L35" s="70"/>
    </row>
    <row r="36" spans="1:12" ht="15.75">
      <c r="A36" s="193"/>
      <c r="B36" s="193"/>
      <c r="C36" s="193">
        <v>4410</v>
      </c>
      <c r="D36" s="214" t="s">
        <v>572</v>
      </c>
      <c r="E36" s="70">
        <f>F36</f>
        <v>1691</v>
      </c>
      <c r="F36" s="70">
        <f>I36</f>
        <v>1691</v>
      </c>
      <c r="G36" s="70"/>
      <c r="H36" s="70"/>
      <c r="I36" s="70">
        <v>1691</v>
      </c>
      <c r="J36" s="233"/>
      <c r="K36" s="233"/>
      <c r="L36" s="70"/>
    </row>
    <row r="37" spans="1:12" ht="31.5">
      <c r="A37" s="193"/>
      <c r="B37" s="193"/>
      <c r="C37" s="193">
        <v>4700</v>
      </c>
      <c r="D37" s="194" t="s">
        <v>519</v>
      </c>
      <c r="E37" s="70">
        <f>F37</f>
        <v>1000</v>
      </c>
      <c r="F37" s="70">
        <f>I37</f>
        <v>1000</v>
      </c>
      <c r="G37" s="70"/>
      <c r="H37" s="70"/>
      <c r="I37" s="70">
        <v>1000</v>
      </c>
      <c r="J37" s="233"/>
      <c r="K37" s="233"/>
      <c r="L37" s="70"/>
    </row>
    <row r="38" spans="1:12" ht="15.75">
      <c r="A38" s="171"/>
      <c r="B38" s="307">
        <v>80148</v>
      </c>
      <c r="C38" s="308"/>
      <c r="D38" s="309" t="s">
        <v>410</v>
      </c>
      <c r="E38" s="246">
        <f aca="true" t="shared" si="5" ref="E38:L38">SUM(E39:E52)</f>
        <v>505810.28</v>
      </c>
      <c r="F38" s="246">
        <f t="shared" si="5"/>
        <v>505810.28</v>
      </c>
      <c r="G38" s="246">
        <f t="shared" si="5"/>
        <v>214796</v>
      </c>
      <c r="H38" s="246">
        <f t="shared" si="5"/>
        <v>37921</v>
      </c>
      <c r="I38" s="246">
        <f t="shared" si="5"/>
        <v>0</v>
      </c>
      <c r="J38" s="246">
        <f t="shared" si="5"/>
        <v>1100</v>
      </c>
      <c r="K38" s="246">
        <f t="shared" si="5"/>
        <v>0</v>
      </c>
      <c r="L38" s="246">
        <f t="shared" si="5"/>
        <v>0</v>
      </c>
    </row>
    <row r="39" spans="1:12" ht="15.75">
      <c r="A39" s="438"/>
      <c r="B39" s="438"/>
      <c r="C39" s="439">
        <v>3020</v>
      </c>
      <c r="D39" s="440" t="s">
        <v>561</v>
      </c>
      <c r="E39" s="441">
        <f aca="true" t="shared" si="6" ref="E39:E52">F39</f>
        <v>1100</v>
      </c>
      <c r="F39" s="441">
        <f>J39</f>
        <v>1100</v>
      </c>
      <c r="G39" s="441">
        <v>0</v>
      </c>
      <c r="H39" s="441">
        <v>0</v>
      </c>
      <c r="I39" s="442"/>
      <c r="J39" s="441">
        <v>1100</v>
      </c>
      <c r="K39" s="442"/>
      <c r="L39" s="442"/>
    </row>
    <row r="40" spans="1:12" ht="15.75">
      <c r="A40" s="439"/>
      <c r="B40" s="439"/>
      <c r="C40" s="439">
        <v>4010</v>
      </c>
      <c r="D40" s="440" t="s">
        <v>545</v>
      </c>
      <c r="E40" s="441">
        <f t="shared" si="6"/>
        <v>199496</v>
      </c>
      <c r="F40" s="441">
        <f>G40</f>
        <v>199496</v>
      </c>
      <c r="G40" s="441">
        <v>199496</v>
      </c>
      <c r="H40" s="441">
        <v>0</v>
      </c>
      <c r="I40" s="442"/>
      <c r="J40" s="442"/>
      <c r="K40" s="442"/>
      <c r="L40" s="442"/>
    </row>
    <row r="41" spans="1:12" ht="15.75">
      <c r="A41" s="439"/>
      <c r="B41" s="439"/>
      <c r="C41" s="439">
        <v>4040</v>
      </c>
      <c r="D41" s="440" t="s">
        <v>562</v>
      </c>
      <c r="E41" s="441">
        <f t="shared" si="6"/>
        <v>15300</v>
      </c>
      <c r="F41" s="441">
        <f>G41</f>
        <v>15300</v>
      </c>
      <c r="G41" s="441">
        <v>15300</v>
      </c>
      <c r="H41" s="441">
        <v>0</v>
      </c>
      <c r="I41" s="442"/>
      <c r="J41" s="442"/>
      <c r="K41" s="442"/>
      <c r="L41" s="442"/>
    </row>
    <row r="42" spans="1:12" ht="15.75">
      <c r="A42" s="439"/>
      <c r="B42" s="439"/>
      <c r="C42" s="439">
        <v>4110</v>
      </c>
      <c r="D42" s="440" t="s">
        <v>563</v>
      </c>
      <c r="E42" s="441">
        <f t="shared" si="6"/>
        <v>32658</v>
      </c>
      <c r="F42" s="441">
        <f>H42</f>
        <v>32658</v>
      </c>
      <c r="G42" s="441">
        <v>0</v>
      </c>
      <c r="H42" s="441">
        <v>32658</v>
      </c>
      <c r="I42" s="442"/>
      <c r="J42" s="442"/>
      <c r="K42" s="442"/>
      <c r="L42" s="442"/>
    </row>
    <row r="43" spans="1:12" ht="15.75">
      <c r="A43" s="439"/>
      <c r="B43" s="439"/>
      <c r="C43" s="439">
        <v>4120</v>
      </c>
      <c r="D43" s="440" t="s">
        <v>564</v>
      </c>
      <c r="E43" s="441">
        <f t="shared" si="6"/>
        <v>5263</v>
      </c>
      <c r="F43" s="441">
        <f>H43</f>
        <v>5263</v>
      </c>
      <c r="G43" s="441">
        <v>0</v>
      </c>
      <c r="H43" s="441">
        <v>5263</v>
      </c>
      <c r="I43" s="442"/>
      <c r="J43" s="442"/>
      <c r="K43" s="442"/>
      <c r="L43" s="442"/>
    </row>
    <row r="44" spans="1:12" ht="15.75">
      <c r="A44" s="439"/>
      <c r="B44" s="439"/>
      <c r="C44" s="439">
        <v>4210</v>
      </c>
      <c r="D44" s="440" t="s">
        <v>555</v>
      </c>
      <c r="E44" s="441">
        <f t="shared" si="6"/>
        <v>17800</v>
      </c>
      <c r="F44" s="441">
        <v>17800</v>
      </c>
      <c r="G44" s="441"/>
      <c r="H44" s="441"/>
      <c r="I44" s="442"/>
      <c r="J44" s="442"/>
      <c r="K44" s="442"/>
      <c r="L44" s="442"/>
    </row>
    <row r="45" spans="1:12" ht="15.75">
      <c r="A45" s="439"/>
      <c r="B45" s="439"/>
      <c r="C45" s="439">
        <v>4220</v>
      </c>
      <c r="D45" s="440" t="s">
        <v>566</v>
      </c>
      <c r="E45" s="441">
        <f t="shared" si="6"/>
        <v>222132</v>
      </c>
      <c r="F45" s="441">
        <v>222132</v>
      </c>
      <c r="G45" s="441"/>
      <c r="H45" s="441"/>
      <c r="I45" s="442"/>
      <c r="J45" s="442"/>
      <c r="K45" s="442"/>
      <c r="L45" s="442"/>
    </row>
    <row r="46" spans="1:12" ht="15.75">
      <c r="A46" s="439"/>
      <c r="B46" s="439"/>
      <c r="C46" s="439">
        <v>4270</v>
      </c>
      <c r="D46" s="440" t="s">
        <v>507</v>
      </c>
      <c r="E46" s="441">
        <f t="shared" si="6"/>
        <v>1500</v>
      </c>
      <c r="F46" s="441">
        <v>1500</v>
      </c>
      <c r="G46" s="441"/>
      <c r="H46" s="441"/>
      <c r="I46" s="442"/>
      <c r="J46" s="442"/>
      <c r="K46" s="442"/>
      <c r="L46" s="442"/>
    </row>
    <row r="47" spans="1:12" ht="15.75">
      <c r="A47" s="439"/>
      <c r="B47" s="439"/>
      <c r="C47" s="439">
        <v>4280</v>
      </c>
      <c r="D47" s="440" t="s">
        <v>568</v>
      </c>
      <c r="E47" s="441">
        <f t="shared" si="6"/>
        <v>560</v>
      </c>
      <c r="F47" s="441">
        <v>560</v>
      </c>
      <c r="G47" s="441"/>
      <c r="H47" s="441"/>
      <c r="I47" s="442"/>
      <c r="J47" s="442"/>
      <c r="K47" s="442"/>
      <c r="L47" s="442"/>
    </row>
    <row r="48" spans="1:12" ht="15.75">
      <c r="A48" s="439"/>
      <c r="B48" s="439"/>
      <c r="C48" s="439">
        <v>4300</v>
      </c>
      <c r="D48" s="440" t="s">
        <v>569</v>
      </c>
      <c r="E48" s="441">
        <f t="shared" si="6"/>
        <v>1250</v>
      </c>
      <c r="F48" s="441">
        <v>1250</v>
      </c>
      <c r="G48" s="441"/>
      <c r="H48" s="441"/>
      <c r="I48" s="442"/>
      <c r="J48" s="442"/>
      <c r="K48" s="442"/>
      <c r="L48" s="442"/>
    </row>
    <row r="49" spans="1:12" ht="15.75">
      <c r="A49" s="439"/>
      <c r="B49" s="439"/>
      <c r="C49" s="439">
        <v>4440</v>
      </c>
      <c r="D49" s="440" t="s">
        <v>574</v>
      </c>
      <c r="E49" s="441">
        <f t="shared" si="6"/>
        <v>7001.28</v>
      </c>
      <c r="F49" s="241">
        <f>1000.04*7+1</f>
        <v>7001.28</v>
      </c>
      <c r="G49" s="441"/>
      <c r="H49" s="441"/>
      <c r="I49" s="442"/>
      <c r="J49" s="442"/>
      <c r="K49" s="442"/>
      <c r="L49" s="442"/>
    </row>
    <row r="50" spans="1:12" ht="31.5">
      <c r="A50" s="439"/>
      <c r="B50" s="439"/>
      <c r="C50" s="439">
        <v>4700</v>
      </c>
      <c r="D50" s="194" t="s">
        <v>519</v>
      </c>
      <c r="E50" s="441">
        <f t="shared" si="6"/>
        <v>1000</v>
      </c>
      <c r="F50" s="441">
        <v>1000</v>
      </c>
      <c r="G50" s="441"/>
      <c r="H50" s="441"/>
      <c r="I50" s="442"/>
      <c r="J50" s="442"/>
      <c r="K50" s="442"/>
      <c r="L50" s="442"/>
    </row>
    <row r="51" spans="1:12" ht="31.5">
      <c r="A51" s="439"/>
      <c r="B51" s="439"/>
      <c r="C51" s="439">
        <v>4740</v>
      </c>
      <c r="D51" s="194" t="s">
        <v>551</v>
      </c>
      <c r="E51" s="441">
        <f t="shared" si="6"/>
        <v>250</v>
      </c>
      <c r="F51" s="441">
        <v>250</v>
      </c>
      <c r="G51" s="441"/>
      <c r="H51" s="441"/>
      <c r="I51" s="442"/>
      <c r="J51" s="442"/>
      <c r="K51" s="442"/>
      <c r="L51" s="442"/>
    </row>
    <row r="52" spans="1:12" ht="31.5">
      <c r="A52" s="439"/>
      <c r="B52" s="439"/>
      <c r="C52" s="439">
        <v>4750</v>
      </c>
      <c r="D52" s="194" t="s">
        <v>552</v>
      </c>
      <c r="E52" s="441">
        <f t="shared" si="6"/>
        <v>500</v>
      </c>
      <c r="F52" s="441">
        <v>500</v>
      </c>
      <c r="G52" s="441">
        <v>0</v>
      </c>
      <c r="H52" s="441">
        <v>0</v>
      </c>
      <c r="I52" s="442"/>
      <c r="J52" s="442"/>
      <c r="K52" s="442"/>
      <c r="L52" s="442"/>
    </row>
    <row r="53" spans="1:12" ht="15.75">
      <c r="A53" s="170"/>
      <c r="B53" s="170">
        <v>80195</v>
      </c>
      <c r="C53" s="170"/>
      <c r="D53" s="171" t="s">
        <v>306</v>
      </c>
      <c r="E53" s="232">
        <f>SUM(E54:E54)</f>
        <v>12432.814912500002</v>
      </c>
      <c r="F53" s="232">
        <f>SUM(F54:F54)</f>
        <v>12432.814912500002</v>
      </c>
      <c r="G53" s="232"/>
      <c r="H53" s="232"/>
      <c r="I53" s="232"/>
      <c r="J53" s="232"/>
      <c r="K53" s="232"/>
      <c r="L53" s="232"/>
    </row>
    <row r="54" spans="1:12" ht="15.75">
      <c r="A54" s="170"/>
      <c r="B54" s="170"/>
      <c r="C54" s="193">
        <v>4440</v>
      </c>
      <c r="D54" s="214" t="s">
        <v>574</v>
      </c>
      <c r="E54" s="70">
        <f>F54</f>
        <v>12432.814912500002</v>
      </c>
      <c r="F54" s="241">
        <f>(10*2666.77*0.0625+11*958.75)*1.018</f>
        <v>12432.814912500002</v>
      </c>
      <c r="G54" s="70">
        <v>0</v>
      </c>
      <c r="H54" s="70">
        <v>0</v>
      </c>
      <c r="I54" s="233"/>
      <c r="J54" s="233"/>
      <c r="K54" s="233"/>
      <c r="L54" s="233"/>
    </row>
  </sheetData>
  <mergeCells count="13">
    <mergeCell ref="G6:K6"/>
    <mergeCell ref="L6:L7"/>
    <mergeCell ref="A31:L31"/>
    <mergeCell ref="A1:L1"/>
    <mergeCell ref="A2:L2"/>
    <mergeCell ref="A4:D4"/>
    <mergeCell ref="A5:A7"/>
    <mergeCell ref="B5:B7"/>
    <mergeCell ref="C5:C7"/>
    <mergeCell ref="D5:D7"/>
    <mergeCell ref="E5:E7"/>
    <mergeCell ref="F5:L5"/>
    <mergeCell ref="F6:F7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87" r:id="rId1"/>
  <headerFooter alignWithMargins="0">
    <oddFooter>&amp;C&amp;"Times New Roman,Normalny"&amp;12Strona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58"/>
  <sheetViews>
    <sheetView showGridLines="0" defaultGridColor="0" view="pageBreakPreview" zoomScale="90" zoomScaleSheetLayoutView="90" colorId="15" workbookViewId="0" topLeftCell="A1">
      <selection activeCell="P7" sqref="P7"/>
    </sheetView>
  </sheetViews>
  <sheetFormatPr defaultColWidth="9.00390625" defaultRowHeight="12.75"/>
  <cols>
    <col min="1" max="1" width="5.00390625" style="42" customWidth="1"/>
    <col min="2" max="2" width="7.125" style="42" customWidth="1"/>
    <col min="3" max="3" width="6.125" style="42" customWidth="1"/>
    <col min="4" max="4" width="45.00390625" style="42" customWidth="1"/>
    <col min="5" max="5" width="9.375" style="42" customWidth="1"/>
    <col min="6" max="6" width="10.125" style="42" customWidth="1"/>
    <col min="7" max="7" width="10.25390625" style="42" customWidth="1"/>
    <col min="8" max="8" width="9.25390625" style="42" customWidth="1"/>
    <col min="9" max="9" width="7.25390625" style="42" customWidth="1"/>
    <col min="10" max="10" width="7.625" style="42" customWidth="1"/>
    <col min="11" max="11" width="8.75390625" style="42" customWidth="1"/>
    <col min="12" max="12" width="10.375" style="42" customWidth="1"/>
    <col min="13" max="234" width="9.00390625" style="42" customWidth="1"/>
    <col min="235" max="16384" width="9.00390625" style="443" customWidth="1"/>
  </cols>
  <sheetData>
    <row r="1" spans="1:256" s="444" customFormat="1" ht="15" customHeight="1">
      <c r="A1" s="810" t="s">
        <v>739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HY1" s="42"/>
      <c r="HZ1" s="42"/>
      <c r="IA1" s="443"/>
      <c r="IB1" s="443"/>
      <c r="IC1" s="443"/>
      <c r="ID1" s="443"/>
      <c r="IE1" s="443"/>
      <c r="IF1" s="443"/>
      <c r="IG1" s="443"/>
      <c r="IH1" s="443"/>
      <c r="II1" s="443"/>
      <c r="IJ1" s="443"/>
      <c r="IK1" s="443"/>
      <c r="IL1" s="443"/>
      <c r="IM1" s="443"/>
      <c r="IN1" s="443"/>
      <c r="IO1" s="443"/>
      <c r="IP1" s="443"/>
      <c r="IQ1" s="443"/>
      <c r="IR1" s="443"/>
      <c r="IS1" s="443"/>
      <c r="IT1" s="443"/>
      <c r="IU1" s="443"/>
      <c r="IV1" s="443"/>
    </row>
    <row r="2" spans="1:256" s="444" customFormat="1" ht="33" customHeight="1">
      <c r="A2" s="811" t="s">
        <v>710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HY2" s="42"/>
      <c r="HZ2" s="42"/>
      <c r="IA2" s="443"/>
      <c r="IB2" s="443"/>
      <c r="IC2" s="443"/>
      <c r="ID2" s="443"/>
      <c r="IE2" s="443"/>
      <c r="IF2" s="443"/>
      <c r="IG2" s="443"/>
      <c r="IH2" s="443"/>
      <c r="II2" s="443"/>
      <c r="IJ2" s="443"/>
      <c r="IK2" s="443"/>
      <c r="IL2" s="443"/>
      <c r="IM2" s="443"/>
      <c r="IN2" s="443"/>
      <c r="IO2" s="443"/>
      <c r="IP2" s="443"/>
      <c r="IQ2" s="443"/>
      <c r="IR2" s="443"/>
      <c r="IS2" s="443"/>
      <c r="IT2" s="443"/>
      <c r="IU2" s="443"/>
      <c r="IV2" s="443"/>
    </row>
    <row r="3" spans="1:256" s="444" customFormat="1" ht="15.75" customHeight="1">
      <c r="A3" s="812" t="s">
        <v>740</v>
      </c>
      <c r="B3" s="812"/>
      <c r="C3" s="812"/>
      <c r="D3" s="812"/>
      <c r="E3" s="445"/>
      <c r="F3" s="445"/>
      <c r="G3" s="445"/>
      <c r="H3" s="445"/>
      <c r="I3" s="445"/>
      <c r="J3" s="445"/>
      <c r="K3" s="445"/>
      <c r="L3" s="446" t="s">
        <v>274</v>
      </c>
      <c r="HY3" s="42"/>
      <c r="HZ3" s="42"/>
      <c r="IA3" s="443"/>
      <c r="IB3" s="443"/>
      <c r="IC3" s="443"/>
      <c r="ID3" s="443"/>
      <c r="IE3" s="443"/>
      <c r="IF3" s="443"/>
      <c r="IG3" s="443"/>
      <c r="IH3" s="443"/>
      <c r="II3" s="443"/>
      <c r="IJ3" s="443"/>
      <c r="IK3" s="443"/>
      <c r="IL3" s="443"/>
      <c r="IM3" s="443"/>
      <c r="IN3" s="443"/>
      <c r="IO3" s="443"/>
      <c r="IP3" s="443"/>
      <c r="IQ3" s="443"/>
      <c r="IR3" s="443"/>
      <c r="IS3" s="443"/>
      <c r="IT3" s="443"/>
      <c r="IU3" s="443"/>
      <c r="IV3" s="443"/>
    </row>
    <row r="4" spans="1:256" s="447" customFormat="1" ht="15" customHeight="1">
      <c r="A4" s="804" t="s">
        <v>275</v>
      </c>
      <c r="B4" s="804" t="s">
        <v>296</v>
      </c>
      <c r="C4" s="805" t="s">
        <v>297</v>
      </c>
      <c r="D4" s="805" t="s">
        <v>711</v>
      </c>
      <c r="E4" s="806" t="s">
        <v>463</v>
      </c>
      <c r="F4" s="806" t="s">
        <v>300</v>
      </c>
      <c r="G4" s="806"/>
      <c r="H4" s="806"/>
      <c r="I4" s="806"/>
      <c r="J4" s="806"/>
      <c r="K4" s="806"/>
      <c r="L4" s="806"/>
      <c r="HY4" s="317"/>
      <c r="HZ4" s="317"/>
      <c r="IA4" s="317"/>
      <c r="IB4" s="317"/>
      <c r="IC4" s="317"/>
      <c r="ID4" s="317"/>
      <c r="IE4" s="317"/>
      <c r="IF4" s="317"/>
      <c r="IG4" s="317"/>
      <c r="IH4" s="317"/>
      <c r="II4" s="317"/>
      <c r="IJ4" s="317"/>
      <c r="IK4" s="317"/>
      <c r="IL4" s="317"/>
      <c r="IM4" s="317"/>
      <c r="IN4" s="317"/>
      <c r="IO4" s="317"/>
      <c r="IP4" s="317"/>
      <c r="IQ4" s="317"/>
      <c r="IR4" s="317"/>
      <c r="IS4" s="317"/>
      <c r="IT4" s="317"/>
      <c r="IU4" s="317"/>
      <c r="IV4" s="317"/>
    </row>
    <row r="5" spans="1:256" s="447" customFormat="1" ht="15" customHeight="1">
      <c r="A5" s="804"/>
      <c r="B5" s="804"/>
      <c r="C5" s="805"/>
      <c r="D5" s="805"/>
      <c r="E5" s="806"/>
      <c r="F5" s="806" t="s">
        <v>636</v>
      </c>
      <c r="G5" s="806" t="s">
        <v>216</v>
      </c>
      <c r="H5" s="806"/>
      <c r="I5" s="806"/>
      <c r="J5" s="806"/>
      <c r="K5" s="806"/>
      <c r="L5" s="806" t="s">
        <v>465</v>
      </c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  <c r="IM5" s="317"/>
      <c r="IN5" s="317"/>
      <c r="IO5" s="317"/>
      <c r="IP5" s="317"/>
      <c r="IQ5" s="317"/>
      <c r="IR5" s="317"/>
      <c r="IS5" s="317"/>
      <c r="IT5" s="317"/>
      <c r="IU5" s="317"/>
      <c r="IV5" s="317"/>
    </row>
    <row r="6" spans="1:256" s="447" customFormat="1" ht="84">
      <c r="A6" s="804"/>
      <c r="B6" s="804"/>
      <c r="C6" s="805"/>
      <c r="D6" s="805"/>
      <c r="E6" s="806"/>
      <c r="F6" s="806"/>
      <c r="G6" s="411" t="s">
        <v>472</v>
      </c>
      <c r="H6" s="411" t="s">
        <v>638</v>
      </c>
      <c r="I6" s="200" t="s">
        <v>474</v>
      </c>
      <c r="J6" s="318" t="s">
        <v>468</v>
      </c>
      <c r="K6" s="410" t="s">
        <v>712</v>
      </c>
      <c r="L6" s="806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</row>
    <row r="7" spans="1:256" s="449" customFormat="1" ht="12.75">
      <c r="A7" s="448">
        <v>1</v>
      </c>
      <c r="B7" s="448">
        <v>2</v>
      </c>
      <c r="C7" s="448">
        <v>3</v>
      </c>
      <c r="D7" s="448">
        <v>4</v>
      </c>
      <c r="E7" s="448">
        <v>5</v>
      </c>
      <c r="F7" s="448">
        <v>6</v>
      </c>
      <c r="G7" s="448">
        <v>7</v>
      </c>
      <c r="H7" s="448">
        <v>8</v>
      </c>
      <c r="I7" s="448">
        <v>9</v>
      </c>
      <c r="J7" s="448">
        <v>10</v>
      </c>
      <c r="K7" s="448">
        <v>11</v>
      </c>
      <c r="L7" s="448">
        <v>12</v>
      </c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444" customFormat="1" ht="15.75">
      <c r="A8" s="63">
        <v>801</v>
      </c>
      <c r="B8" s="63"/>
      <c r="C8" s="63"/>
      <c r="D8" s="64" t="s">
        <v>399</v>
      </c>
      <c r="E8" s="55">
        <f aca="true" t="shared" si="0" ref="E8:L8">E9+E31</f>
        <v>338572.2044</v>
      </c>
      <c r="F8" s="55">
        <f t="shared" si="0"/>
        <v>338572.2044</v>
      </c>
      <c r="G8" s="55">
        <f t="shared" si="0"/>
        <v>250528</v>
      </c>
      <c r="H8" s="55">
        <f t="shared" si="0"/>
        <v>44193.139200000005</v>
      </c>
      <c r="I8" s="55">
        <f t="shared" si="0"/>
        <v>42867.0652</v>
      </c>
      <c r="J8" s="55">
        <f t="shared" si="0"/>
        <v>984</v>
      </c>
      <c r="K8" s="55">
        <f t="shared" si="0"/>
        <v>0</v>
      </c>
      <c r="L8" s="55">
        <f t="shared" si="0"/>
        <v>0</v>
      </c>
      <c r="HY8" s="42"/>
      <c r="HZ8" s="42"/>
      <c r="IA8" s="443"/>
      <c r="IB8" s="443"/>
      <c r="IC8" s="443"/>
      <c r="ID8" s="443"/>
      <c r="IE8" s="443"/>
      <c r="IF8" s="443"/>
      <c r="IG8" s="443"/>
      <c r="IH8" s="443"/>
      <c r="II8" s="443"/>
      <c r="IJ8" s="443"/>
      <c r="IK8" s="443"/>
      <c r="IL8" s="443"/>
      <c r="IM8" s="443"/>
      <c r="IN8" s="443"/>
      <c r="IO8" s="443"/>
      <c r="IP8" s="443"/>
      <c r="IQ8" s="443"/>
      <c r="IR8" s="443"/>
      <c r="IS8" s="443"/>
      <c r="IT8" s="443"/>
      <c r="IU8" s="443"/>
      <c r="IV8" s="443"/>
    </row>
    <row r="9" spans="1:256" s="444" customFormat="1" ht="15.75">
      <c r="A9" s="65"/>
      <c r="B9" s="65">
        <v>80110</v>
      </c>
      <c r="C9" s="65"/>
      <c r="D9" s="66" t="s">
        <v>407</v>
      </c>
      <c r="E9" s="58">
        <f aca="true" t="shared" si="1" ref="E9:L9">SUM(E10:E30)</f>
        <v>337892.2044</v>
      </c>
      <c r="F9" s="58">
        <f t="shared" si="1"/>
        <v>337892.2044</v>
      </c>
      <c r="G9" s="58">
        <f t="shared" si="1"/>
        <v>250528</v>
      </c>
      <c r="H9" s="58">
        <f t="shared" si="1"/>
        <v>44193.139200000005</v>
      </c>
      <c r="I9" s="58">
        <f t="shared" si="1"/>
        <v>42187.0652</v>
      </c>
      <c r="J9" s="58">
        <f t="shared" si="1"/>
        <v>984</v>
      </c>
      <c r="K9" s="58">
        <f t="shared" si="1"/>
        <v>0</v>
      </c>
      <c r="L9" s="58">
        <f t="shared" si="1"/>
        <v>0</v>
      </c>
      <c r="HY9" s="42"/>
      <c r="HZ9" s="42"/>
      <c r="IA9" s="443"/>
      <c r="IB9" s="443"/>
      <c r="IC9" s="443"/>
      <c r="ID9" s="443"/>
      <c r="IE9" s="443"/>
      <c r="IF9" s="443"/>
      <c r="IG9" s="443"/>
      <c r="IH9" s="443"/>
      <c r="II9" s="443"/>
      <c r="IJ9" s="443"/>
      <c r="IK9" s="443"/>
      <c r="IL9" s="443"/>
      <c r="IM9" s="443"/>
      <c r="IN9" s="443"/>
      <c r="IO9" s="443"/>
      <c r="IP9" s="443"/>
      <c r="IQ9" s="443"/>
      <c r="IR9" s="443"/>
      <c r="IS9" s="443"/>
      <c r="IT9" s="443"/>
      <c r="IU9" s="443"/>
      <c r="IV9" s="443"/>
    </row>
    <row r="10" spans="1:256" s="444" customFormat="1" ht="15.75">
      <c r="A10" s="450"/>
      <c r="B10" s="450"/>
      <c r="C10" s="451">
        <v>3020</v>
      </c>
      <c r="D10" s="452" t="s">
        <v>713</v>
      </c>
      <c r="E10" s="453">
        <f aca="true" t="shared" si="2" ref="E10:E25">F10</f>
        <v>984</v>
      </c>
      <c r="F10" s="453">
        <f>J10</f>
        <v>984</v>
      </c>
      <c r="G10" s="454"/>
      <c r="H10" s="454"/>
      <c r="I10" s="454"/>
      <c r="J10" s="453">
        <v>984</v>
      </c>
      <c r="K10" s="455"/>
      <c r="L10" s="454"/>
      <c r="HY10" s="42"/>
      <c r="HZ10" s="42"/>
      <c r="IA10" s="443"/>
      <c r="IB10" s="443"/>
      <c r="IC10" s="443"/>
      <c r="ID10" s="443"/>
      <c r="IE10" s="443"/>
      <c r="IF10" s="443"/>
      <c r="IG10" s="443"/>
      <c r="IH10" s="443"/>
      <c r="II10" s="443"/>
      <c r="IJ10" s="443"/>
      <c r="IK10" s="443"/>
      <c r="IL10" s="443"/>
      <c r="IM10" s="443"/>
      <c r="IN10" s="443"/>
      <c r="IO10" s="443"/>
      <c r="IP10" s="443"/>
      <c r="IQ10" s="443"/>
      <c r="IR10" s="443"/>
      <c r="IS10" s="443"/>
      <c r="IT10" s="443"/>
      <c r="IU10" s="443"/>
      <c r="IV10" s="443"/>
    </row>
    <row r="11" spans="1:256" s="444" customFormat="1" ht="15.75">
      <c r="A11" s="450"/>
      <c r="B11" s="450"/>
      <c r="C11" s="451">
        <v>4010</v>
      </c>
      <c r="D11" s="452" t="s">
        <v>545</v>
      </c>
      <c r="E11" s="453">
        <f t="shared" si="2"/>
        <v>237501</v>
      </c>
      <c r="F11" s="324">
        <f>G11</f>
        <v>237501</v>
      </c>
      <c r="G11" s="453">
        <f>211451+26050</f>
        <v>237501</v>
      </c>
      <c r="H11" s="453"/>
      <c r="I11" s="453"/>
      <c r="J11" s="456"/>
      <c r="K11" s="456"/>
      <c r="L11" s="453"/>
      <c r="HY11" s="42"/>
      <c r="HZ11" s="42"/>
      <c r="IA11" s="443"/>
      <c r="IB11" s="443"/>
      <c r="IC11" s="443"/>
      <c r="ID11" s="443"/>
      <c r="IE11" s="443"/>
      <c r="IF11" s="443"/>
      <c r="IG11" s="443"/>
      <c r="IH11" s="443"/>
      <c r="II11" s="443"/>
      <c r="IJ11" s="443"/>
      <c r="IK11" s="443"/>
      <c r="IL11" s="443"/>
      <c r="IM11" s="443"/>
      <c r="IN11" s="443"/>
      <c r="IO11" s="443"/>
      <c r="IP11" s="443"/>
      <c r="IQ11" s="443"/>
      <c r="IR11" s="443"/>
      <c r="IS11" s="443"/>
      <c r="IT11" s="443"/>
      <c r="IU11" s="443"/>
      <c r="IV11" s="443"/>
    </row>
    <row r="12" spans="1:256" s="444" customFormat="1" ht="15.75">
      <c r="A12" s="450"/>
      <c r="B12" s="450"/>
      <c r="C12" s="451">
        <v>4040</v>
      </c>
      <c r="D12" s="452" t="s">
        <v>562</v>
      </c>
      <c r="E12" s="453">
        <f t="shared" si="2"/>
        <v>13027</v>
      </c>
      <c r="F12" s="324">
        <f>G12</f>
        <v>13027</v>
      </c>
      <c r="G12" s="453">
        <v>13027</v>
      </c>
      <c r="H12" s="453"/>
      <c r="I12" s="453"/>
      <c r="J12" s="456"/>
      <c r="K12" s="456"/>
      <c r="L12" s="453"/>
      <c r="HY12" s="42"/>
      <c r="HZ12" s="42"/>
      <c r="IA12" s="443"/>
      <c r="IB12" s="443"/>
      <c r="IC12" s="443"/>
      <c r="ID12" s="443"/>
      <c r="IE12" s="443"/>
      <c r="IF12" s="443"/>
      <c r="IG12" s="443"/>
      <c r="IH12" s="443"/>
      <c r="II12" s="443"/>
      <c r="IJ12" s="443"/>
      <c r="IK12" s="443"/>
      <c r="IL12" s="443"/>
      <c r="IM12" s="443"/>
      <c r="IN12" s="443"/>
      <c r="IO12" s="443"/>
      <c r="IP12" s="443"/>
      <c r="IQ12" s="443"/>
      <c r="IR12" s="443"/>
      <c r="IS12" s="443"/>
      <c r="IT12" s="443"/>
      <c r="IU12" s="443"/>
      <c r="IV12" s="443"/>
    </row>
    <row r="13" spans="1:256" s="444" customFormat="1" ht="15.75">
      <c r="A13" s="450"/>
      <c r="B13" s="450"/>
      <c r="C13" s="451">
        <v>4110</v>
      </c>
      <c r="D13" s="452" t="s">
        <v>563</v>
      </c>
      <c r="E13" s="453">
        <f t="shared" si="2"/>
        <v>38055.2032</v>
      </c>
      <c r="F13" s="324">
        <f>H13</f>
        <v>38055.2032</v>
      </c>
      <c r="G13" s="453"/>
      <c r="H13" s="61">
        <f>(G11+G12)*0.1519</f>
        <v>38055.2032</v>
      </c>
      <c r="I13" s="453"/>
      <c r="J13" s="456"/>
      <c r="K13" s="456"/>
      <c r="L13" s="453"/>
      <c r="HY13" s="42"/>
      <c r="HZ13" s="42"/>
      <c r="IA13" s="443"/>
      <c r="IB13" s="443"/>
      <c r="IC13" s="443"/>
      <c r="ID13" s="443"/>
      <c r="IE13" s="443"/>
      <c r="IF13" s="443"/>
      <c r="IG13" s="443"/>
      <c r="IH13" s="443"/>
      <c r="II13" s="443"/>
      <c r="IJ13" s="443"/>
      <c r="IK13" s="443"/>
      <c r="IL13" s="443"/>
      <c r="IM13" s="443"/>
      <c r="IN13" s="443"/>
      <c r="IO13" s="443"/>
      <c r="IP13" s="443"/>
      <c r="IQ13" s="443"/>
      <c r="IR13" s="443"/>
      <c r="IS13" s="443"/>
      <c r="IT13" s="443"/>
      <c r="IU13" s="443"/>
      <c r="IV13" s="443"/>
    </row>
    <row r="14" spans="1:256" s="444" customFormat="1" ht="15.75">
      <c r="A14" s="450"/>
      <c r="B14" s="450"/>
      <c r="C14" s="451">
        <v>4120</v>
      </c>
      <c r="D14" s="452" t="s">
        <v>564</v>
      </c>
      <c r="E14" s="453">
        <f t="shared" si="2"/>
        <v>6137.936000000001</v>
      </c>
      <c r="F14" s="324">
        <f>H14</f>
        <v>6137.936000000001</v>
      </c>
      <c r="G14" s="453"/>
      <c r="H14" s="61">
        <f>(G12+G11)*0.0245</f>
        <v>6137.936000000001</v>
      </c>
      <c r="I14" s="453"/>
      <c r="J14" s="456"/>
      <c r="K14" s="456"/>
      <c r="L14" s="453"/>
      <c r="HY14" s="42"/>
      <c r="HZ14" s="42"/>
      <c r="IA14" s="443"/>
      <c r="IB14" s="443"/>
      <c r="IC14" s="443"/>
      <c r="ID14" s="443"/>
      <c r="IE14" s="443"/>
      <c r="IF14" s="443"/>
      <c r="IG14" s="443"/>
      <c r="IH14" s="443"/>
      <c r="II14" s="443"/>
      <c r="IJ14" s="443"/>
      <c r="IK14" s="443"/>
      <c r="IL14" s="443"/>
      <c r="IM14" s="443"/>
      <c r="IN14" s="443"/>
      <c r="IO14" s="443"/>
      <c r="IP14" s="443"/>
      <c r="IQ14" s="443"/>
      <c r="IR14" s="443"/>
      <c r="IS14" s="443"/>
      <c r="IT14" s="443"/>
      <c r="IU14" s="443"/>
      <c r="IV14" s="443"/>
    </row>
    <row r="15" spans="1:256" s="444" customFormat="1" ht="15.75">
      <c r="A15" s="450"/>
      <c r="B15" s="450"/>
      <c r="C15" s="67">
        <v>4170</v>
      </c>
      <c r="D15" s="203" t="s">
        <v>565</v>
      </c>
      <c r="E15" s="453">
        <f t="shared" si="2"/>
        <v>0</v>
      </c>
      <c r="F15" s="324"/>
      <c r="G15" s="453"/>
      <c r="H15" s="61"/>
      <c r="I15" s="453"/>
      <c r="J15" s="456"/>
      <c r="K15" s="456"/>
      <c r="L15" s="453"/>
      <c r="HY15" s="42"/>
      <c r="HZ15" s="42"/>
      <c r="IA15" s="443"/>
      <c r="IB15" s="443"/>
      <c r="IC15" s="443"/>
      <c r="ID15" s="443"/>
      <c r="IE15" s="443"/>
      <c r="IF15" s="443"/>
      <c r="IG15" s="443"/>
      <c r="IH15" s="443"/>
      <c r="II15" s="443"/>
      <c r="IJ15" s="443"/>
      <c r="IK15" s="443"/>
      <c r="IL15" s="443"/>
      <c r="IM15" s="443"/>
      <c r="IN15" s="443"/>
      <c r="IO15" s="443"/>
      <c r="IP15" s="443"/>
      <c r="IQ15" s="443"/>
      <c r="IR15" s="443"/>
      <c r="IS15" s="443"/>
      <c r="IT15" s="443"/>
      <c r="IU15" s="443"/>
      <c r="IV15" s="443"/>
    </row>
    <row r="16" spans="1:256" s="444" customFormat="1" ht="15.75">
      <c r="A16" s="450"/>
      <c r="B16" s="450"/>
      <c r="C16" s="451">
        <v>4210</v>
      </c>
      <c r="D16" s="452" t="s">
        <v>555</v>
      </c>
      <c r="E16" s="453">
        <f t="shared" si="2"/>
        <v>8000</v>
      </c>
      <c r="F16" s="453">
        <f aca="true" t="shared" si="3" ref="F16:F25">I16</f>
        <v>8000</v>
      </c>
      <c r="G16" s="453"/>
      <c r="H16" s="453"/>
      <c r="I16" s="453">
        <v>8000</v>
      </c>
      <c r="J16" s="456"/>
      <c r="K16" s="456"/>
      <c r="L16" s="453"/>
      <c r="HY16" s="42"/>
      <c r="HZ16" s="42"/>
      <c r="IA16" s="443"/>
      <c r="IB16" s="443"/>
      <c r="IC16" s="443"/>
      <c r="ID16" s="443"/>
      <c r="IE16" s="443"/>
      <c r="IF16" s="443"/>
      <c r="IG16" s="443"/>
      <c r="IH16" s="443"/>
      <c r="II16" s="443"/>
      <c r="IJ16" s="443"/>
      <c r="IK16" s="443"/>
      <c r="IL16" s="443"/>
      <c r="IM16" s="443"/>
      <c r="IN16" s="443"/>
      <c r="IO16" s="443"/>
      <c r="IP16" s="443"/>
      <c r="IQ16" s="443"/>
      <c r="IR16" s="443"/>
      <c r="IS16" s="443"/>
      <c r="IT16" s="443"/>
      <c r="IU16" s="443"/>
      <c r="IV16" s="443"/>
    </row>
    <row r="17" spans="1:256" s="444" customFormat="1" ht="31.5">
      <c r="A17" s="450"/>
      <c r="B17" s="450"/>
      <c r="C17" s="451">
        <v>4240</v>
      </c>
      <c r="D17" s="452" t="s">
        <v>556</v>
      </c>
      <c r="E17" s="453">
        <f t="shared" si="2"/>
        <v>1000</v>
      </c>
      <c r="F17" s="453">
        <f t="shared" si="3"/>
        <v>1000</v>
      </c>
      <c r="G17" s="453"/>
      <c r="H17" s="453"/>
      <c r="I17" s="453">
        <v>1000</v>
      </c>
      <c r="J17" s="456"/>
      <c r="K17" s="456"/>
      <c r="L17" s="453"/>
      <c r="HY17" s="42"/>
      <c r="HZ17" s="42"/>
      <c r="IA17" s="443"/>
      <c r="IB17" s="443"/>
      <c r="IC17" s="443"/>
      <c r="ID17" s="443"/>
      <c r="IE17" s="443"/>
      <c r="IF17" s="443"/>
      <c r="IG17" s="443"/>
      <c r="IH17" s="443"/>
      <c r="II17" s="443"/>
      <c r="IJ17" s="443"/>
      <c r="IK17" s="443"/>
      <c r="IL17" s="443"/>
      <c r="IM17" s="443"/>
      <c r="IN17" s="443"/>
      <c r="IO17" s="443"/>
      <c r="IP17" s="443"/>
      <c r="IQ17" s="443"/>
      <c r="IR17" s="443"/>
      <c r="IS17" s="443"/>
      <c r="IT17" s="443"/>
      <c r="IU17" s="443"/>
      <c r="IV17" s="443"/>
    </row>
    <row r="18" spans="1:256" s="444" customFormat="1" ht="15.75">
      <c r="A18" s="67"/>
      <c r="B18" s="67"/>
      <c r="C18" s="67">
        <v>4260</v>
      </c>
      <c r="D18" s="203" t="s">
        <v>567</v>
      </c>
      <c r="E18" s="61">
        <f t="shared" si="2"/>
        <v>0</v>
      </c>
      <c r="F18" s="61">
        <f t="shared" si="3"/>
        <v>0</v>
      </c>
      <c r="G18" s="61"/>
      <c r="H18" s="61"/>
      <c r="I18" s="61"/>
      <c r="J18" s="324"/>
      <c r="K18" s="324"/>
      <c r="L18" s="61"/>
      <c r="HY18" s="42"/>
      <c r="HZ18" s="42"/>
      <c r="IA18" s="443"/>
      <c r="IB18" s="443"/>
      <c r="IC18" s="443"/>
      <c r="ID18" s="443"/>
      <c r="IE18" s="443"/>
      <c r="IF18" s="443"/>
      <c r="IG18" s="443"/>
      <c r="IH18" s="443"/>
      <c r="II18" s="443"/>
      <c r="IJ18" s="443"/>
      <c r="IK18" s="443"/>
      <c r="IL18" s="443"/>
      <c r="IM18" s="443"/>
      <c r="IN18" s="443"/>
      <c r="IO18" s="443"/>
      <c r="IP18" s="443"/>
      <c r="IQ18" s="443"/>
      <c r="IR18" s="443"/>
      <c r="IS18" s="443"/>
      <c r="IT18" s="443"/>
      <c r="IU18" s="443"/>
      <c r="IV18" s="443"/>
    </row>
    <row r="19" spans="1:256" s="444" customFormat="1" ht="15.75">
      <c r="A19" s="450"/>
      <c r="B19" s="450"/>
      <c r="C19" s="451">
        <v>4270</v>
      </c>
      <c r="D19" s="452" t="s">
        <v>507</v>
      </c>
      <c r="E19" s="453">
        <f t="shared" si="2"/>
        <v>0</v>
      </c>
      <c r="F19" s="453">
        <f t="shared" si="3"/>
        <v>0</v>
      </c>
      <c r="G19" s="457"/>
      <c r="H19" s="457"/>
      <c r="I19" s="453"/>
      <c r="J19" s="458"/>
      <c r="K19" s="458"/>
      <c r="L19" s="457"/>
      <c r="HY19" s="42"/>
      <c r="HZ19" s="42"/>
      <c r="IA19" s="443"/>
      <c r="IB19" s="443"/>
      <c r="IC19" s="443"/>
      <c r="ID19" s="443"/>
      <c r="IE19" s="443"/>
      <c r="IF19" s="443"/>
      <c r="IG19" s="443"/>
      <c r="IH19" s="443"/>
      <c r="II19" s="443"/>
      <c r="IJ19" s="443"/>
      <c r="IK19" s="443"/>
      <c r="IL19" s="443"/>
      <c r="IM19" s="443"/>
      <c r="IN19" s="443"/>
      <c r="IO19" s="443"/>
      <c r="IP19" s="443"/>
      <c r="IQ19" s="443"/>
      <c r="IR19" s="443"/>
      <c r="IS19" s="443"/>
      <c r="IT19" s="443"/>
      <c r="IU19" s="443"/>
      <c r="IV19" s="443"/>
    </row>
    <row r="20" spans="1:256" s="444" customFormat="1" ht="15.75">
      <c r="A20" s="450"/>
      <c r="B20" s="450"/>
      <c r="C20" s="451">
        <v>4280</v>
      </c>
      <c r="D20" s="452" t="s">
        <v>568</v>
      </c>
      <c r="E20" s="453">
        <f t="shared" si="2"/>
        <v>250</v>
      </c>
      <c r="F20" s="453">
        <f t="shared" si="3"/>
        <v>250</v>
      </c>
      <c r="G20" s="453"/>
      <c r="H20" s="453"/>
      <c r="I20" s="453">
        <v>250</v>
      </c>
      <c r="J20" s="456"/>
      <c r="K20" s="456"/>
      <c r="L20" s="453"/>
      <c r="HY20" s="42"/>
      <c r="HZ20" s="42"/>
      <c r="IA20" s="443"/>
      <c r="IB20" s="443"/>
      <c r="IC20" s="443"/>
      <c r="ID20" s="443"/>
      <c r="IE20" s="443"/>
      <c r="IF20" s="443"/>
      <c r="IG20" s="443"/>
      <c r="IH20" s="443"/>
      <c r="II20" s="443"/>
      <c r="IJ20" s="443"/>
      <c r="IK20" s="443"/>
      <c r="IL20" s="443"/>
      <c r="IM20" s="443"/>
      <c r="IN20" s="443"/>
      <c r="IO20" s="443"/>
      <c r="IP20" s="443"/>
      <c r="IQ20" s="443"/>
      <c r="IR20" s="443"/>
      <c r="IS20" s="443"/>
      <c r="IT20" s="443"/>
      <c r="IU20" s="443"/>
      <c r="IV20" s="443"/>
    </row>
    <row r="21" spans="1:256" s="444" customFormat="1" ht="15.75">
      <c r="A21" s="450"/>
      <c r="B21" s="450"/>
      <c r="C21" s="451">
        <v>4300</v>
      </c>
      <c r="D21" s="452" t="s">
        <v>569</v>
      </c>
      <c r="E21" s="453">
        <f t="shared" si="2"/>
        <v>12000</v>
      </c>
      <c r="F21" s="453">
        <f t="shared" si="3"/>
        <v>12000</v>
      </c>
      <c r="G21" s="457"/>
      <c r="H21" s="457"/>
      <c r="I21" s="453">
        <f>10800+1200</f>
        <v>12000</v>
      </c>
      <c r="J21" s="458"/>
      <c r="K21" s="458"/>
      <c r="L21" s="457"/>
      <c r="HY21" s="42"/>
      <c r="HZ21" s="42"/>
      <c r="IA21" s="443"/>
      <c r="IB21" s="443"/>
      <c r="IC21" s="443"/>
      <c r="ID21" s="443"/>
      <c r="IE21" s="443"/>
      <c r="IF21" s="443"/>
      <c r="IG21" s="443"/>
      <c r="IH21" s="443"/>
      <c r="II21" s="443"/>
      <c r="IJ21" s="443"/>
      <c r="IK21" s="443"/>
      <c r="IL21" s="443"/>
      <c r="IM21" s="443"/>
      <c r="IN21" s="443"/>
      <c r="IO21" s="443"/>
      <c r="IP21" s="443"/>
      <c r="IQ21" s="443"/>
      <c r="IR21" s="443"/>
      <c r="IS21" s="443"/>
      <c r="IT21" s="443"/>
      <c r="IU21" s="443"/>
      <c r="IV21" s="443"/>
    </row>
    <row r="22" spans="1:256" s="444" customFormat="1" ht="15.75">
      <c r="A22" s="67"/>
      <c r="B22" s="67"/>
      <c r="C22" s="67">
        <v>4350</v>
      </c>
      <c r="D22" s="203" t="s">
        <v>570</v>
      </c>
      <c r="E22" s="61">
        <f t="shared" si="2"/>
        <v>0</v>
      </c>
      <c r="F22" s="61">
        <f t="shared" si="3"/>
        <v>0</v>
      </c>
      <c r="G22" s="61"/>
      <c r="H22" s="61"/>
      <c r="I22" s="61"/>
      <c r="J22" s="324"/>
      <c r="K22" s="324"/>
      <c r="L22" s="61"/>
      <c r="HY22" s="42"/>
      <c r="HZ22" s="42"/>
      <c r="IA22" s="443"/>
      <c r="IB22" s="443"/>
      <c r="IC22" s="443"/>
      <c r="ID22" s="443"/>
      <c r="IE22" s="443"/>
      <c r="IF22" s="443"/>
      <c r="IG22" s="443"/>
      <c r="IH22" s="443"/>
      <c r="II22" s="443"/>
      <c r="IJ22" s="443"/>
      <c r="IK22" s="443"/>
      <c r="IL22" s="443"/>
      <c r="IM22" s="443"/>
      <c r="IN22" s="443"/>
      <c r="IO22" s="443"/>
      <c r="IP22" s="443"/>
      <c r="IQ22" s="443"/>
      <c r="IR22" s="443"/>
      <c r="IS22" s="443"/>
      <c r="IT22" s="443"/>
      <c r="IU22" s="443"/>
      <c r="IV22" s="443"/>
    </row>
    <row r="23" spans="1:256" s="444" customFormat="1" ht="31.5">
      <c r="A23" s="450"/>
      <c r="B23" s="450"/>
      <c r="C23" s="451">
        <v>4370</v>
      </c>
      <c r="D23" s="452" t="s">
        <v>716</v>
      </c>
      <c r="E23" s="453">
        <f t="shared" si="2"/>
        <v>500</v>
      </c>
      <c r="F23" s="453">
        <f t="shared" si="3"/>
        <v>500</v>
      </c>
      <c r="G23" s="453"/>
      <c r="H23" s="453"/>
      <c r="I23" s="453">
        <v>500</v>
      </c>
      <c r="J23" s="456"/>
      <c r="K23" s="456"/>
      <c r="L23" s="453"/>
      <c r="HY23" s="42"/>
      <c r="HZ23" s="42"/>
      <c r="IA23" s="443"/>
      <c r="IB23" s="443"/>
      <c r="IC23" s="443"/>
      <c r="ID23" s="443"/>
      <c r="IE23" s="443"/>
      <c r="IF23" s="443"/>
      <c r="IG23" s="443"/>
      <c r="IH23" s="443"/>
      <c r="II23" s="443"/>
      <c r="IJ23" s="443"/>
      <c r="IK23" s="443"/>
      <c r="IL23" s="443"/>
      <c r="IM23" s="443"/>
      <c r="IN23" s="443"/>
      <c r="IO23" s="443"/>
      <c r="IP23" s="443"/>
      <c r="IQ23" s="443"/>
      <c r="IR23" s="443"/>
      <c r="IS23" s="443"/>
      <c r="IT23" s="443"/>
      <c r="IU23" s="443"/>
      <c r="IV23" s="443"/>
    </row>
    <row r="24" spans="1:256" s="444" customFormat="1" ht="15.75">
      <c r="A24" s="450"/>
      <c r="B24" s="450"/>
      <c r="C24" s="451">
        <v>4410</v>
      </c>
      <c r="D24" s="452" t="s">
        <v>572</v>
      </c>
      <c r="E24" s="453">
        <f t="shared" si="2"/>
        <v>400</v>
      </c>
      <c r="F24" s="453">
        <f t="shared" si="3"/>
        <v>400</v>
      </c>
      <c r="G24" s="453"/>
      <c r="H24" s="453"/>
      <c r="I24" s="453">
        <v>400</v>
      </c>
      <c r="J24" s="456"/>
      <c r="K24" s="456"/>
      <c r="L24" s="453"/>
      <c r="HY24" s="42"/>
      <c r="HZ24" s="42"/>
      <c r="IA24" s="443"/>
      <c r="IB24" s="443"/>
      <c r="IC24" s="443"/>
      <c r="ID24" s="443"/>
      <c r="IE24" s="443"/>
      <c r="IF24" s="443"/>
      <c r="IG24" s="443"/>
      <c r="IH24" s="443"/>
      <c r="II24" s="443"/>
      <c r="IJ24" s="443"/>
      <c r="IK24" s="443"/>
      <c r="IL24" s="443"/>
      <c r="IM24" s="443"/>
      <c r="IN24" s="443"/>
      <c r="IO24" s="443"/>
      <c r="IP24" s="443"/>
      <c r="IQ24" s="443"/>
      <c r="IR24" s="443"/>
      <c r="IS24" s="443"/>
      <c r="IT24" s="443"/>
      <c r="IU24" s="443"/>
      <c r="IV24" s="443"/>
    </row>
    <row r="25" spans="1:256" s="444" customFormat="1" ht="15.75">
      <c r="A25" s="450"/>
      <c r="B25" s="450"/>
      <c r="C25" s="451">
        <v>4430</v>
      </c>
      <c r="D25" s="452" t="s">
        <v>573</v>
      </c>
      <c r="E25" s="453">
        <f t="shared" si="2"/>
        <v>0</v>
      </c>
      <c r="F25" s="453">
        <f t="shared" si="3"/>
        <v>0</v>
      </c>
      <c r="G25" s="453"/>
      <c r="H25" s="453"/>
      <c r="I25" s="453">
        <v>0</v>
      </c>
      <c r="J25" s="456"/>
      <c r="K25" s="456"/>
      <c r="L25" s="453"/>
      <c r="HY25" s="42"/>
      <c r="HZ25" s="42"/>
      <c r="IA25" s="443"/>
      <c r="IB25" s="443"/>
      <c r="IC25" s="443"/>
      <c r="ID25" s="443"/>
      <c r="IE25" s="443"/>
      <c r="IF25" s="443"/>
      <c r="IG25" s="443"/>
      <c r="IH25" s="443"/>
      <c r="II25" s="443"/>
      <c r="IJ25" s="443"/>
      <c r="IK25" s="443"/>
      <c r="IL25" s="443"/>
      <c r="IM25" s="443"/>
      <c r="IN25" s="443"/>
      <c r="IO25" s="443"/>
      <c r="IP25" s="443"/>
      <c r="IQ25" s="443"/>
      <c r="IR25" s="443"/>
      <c r="IS25" s="443"/>
      <c r="IT25" s="443"/>
      <c r="IU25" s="443"/>
      <c r="IV25" s="443"/>
    </row>
    <row r="26" spans="1:256" s="444" customFormat="1" ht="15.75" customHeight="1">
      <c r="A26" s="778" t="s">
        <v>741</v>
      </c>
      <c r="B26" s="778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HY26" s="42"/>
      <c r="HZ26" s="42"/>
      <c r="IA26" s="443"/>
      <c r="IB26" s="443"/>
      <c r="IC26" s="443"/>
      <c r="ID26" s="443"/>
      <c r="IE26" s="443"/>
      <c r="IF26" s="443"/>
      <c r="IG26" s="443"/>
      <c r="IH26" s="443"/>
      <c r="II26" s="443"/>
      <c r="IJ26" s="443"/>
      <c r="IK26" s="443"/>
      <c r="IL26" s="443"/>
      <c r="IM26" s="443"/>
      <c r="IN26" s="443"/>
      <c r="IO26" s="443"/>
      <c r="IP26" s="443"/>
      <c r="IQ26" s="443"/>
      <c r="IR26" s="443"/>
      <c r="IS26" s="443"/>
      <c r="IT26" s="443"/>
      <c r="IU26" s="443"/>
      <c r="IV26" s="443"/>
    </row>
    <row r="27" spans="1:256" s="444" customFormat="1" ht="31.5">
      <c r="A27" s="450"/>
      <c r="B27" s="450"/>
      <c r="C27" s="451">
        <v>4440</v>
      </c>
      <c r="D27" s="452" t="s">
        <v>718</v>
      </c>
      <c r="E27" s="453">
        <f>F27</f>
        <v>15187.065199999997</v>
      </c>
      <c r="F27" s="453">
        <f>I27</f>
        <v>15187.065199999997</v>
      </c>
      <c r="G27" s="453"/>
      <c r="H27" s="453"/>
      <c r="I27" s="321">
        <f>1000.04*1+2515.43*5.64</f>
        <v>15187.065199999997</v>
      </c>
      <c r="J27" s="456"/>
      <c r="K27" s="456"/>
      <c r="L27" s="453"/>
      <c r="HY27" s="42"/>
      <c r="HZ27" s="42"/>
      <c r="IA27" s="443"/>
      <c r="IB27" s="443"/>
      <c r="IC27" s="443"/>
      <c r="ID27" s="443"/>
      <c r="IE27" s="443"/>
      <c r="IF27" s="443"/>
      <c r="IG27" s="443"/>
      <c r="IH27" s="443"/>
      <c r="II27" s="443"/>
      <c r="IJ27" s="443"/>
      <c r="IK27" s="443"/>
      <c r="IL27" s="443"/>
      <c r="IM27" s="443"/>
      <c r="IN27" s="443"/>
      <c r="IO27" s="443"/>
      <c r="IP27" s="443"/>
      <c r="IQ27" s="443"/>
      <c r="IR27" s="443"/>
      <c r="IS27" s="443"/>
      <c r="IT27" s="443"/>
      <c r="IU27" s="443"/>
      <c r="IV27" s="443"/>
    </row>
    <row r="28" spans="1:256" s="444" customFormat="1" ht="31.5">
      <c r="A28" s="450"/>
      <c r="B28" s="450"/>
      <c r="C28" s="451">
        <v>4700</v>
      </c>
      <c r="D28" s="452" t="s">
        <v>575</v>
      </c>
      <c r="E28" s="453">
        <f>F28</f>
        <v>0</v>
      </c>
      <c r="F28" s="453">
        <f>I28</f>
        <v>0</v>
      </c>
      <c r="G28" s="453"/>
      <c r="H28" s="453"/>
      <c r="I28" s="453"/>
      <c r="J28" s="456"/>
      <c r="K28" s="456"/>
      <c r="L28" s="453"/>
      <c r="HY28" s="42"/>
      <c r="HZ28" s="42"/>
      <c r="IA28" s="443"/>
      <c r="IB28" s="443"/>
      <c r="IC28" s="443"/>
      <c r="ID28" s="443"/>
      <c r="IE28" s="443"/>
      <c r="IF28" s="443"/>
      <c r="IG28" s="443"/>
      <c r="IH28" s="443"/>
      <c r="II28" s="443"/>
      <c r="IJ28" s="443"/>
      <c r="IK28" s="443"/>
      <c r="IL28" s="443"/>
      <c r="IM28" s="443"/>
      <c r="IN28" s="443"/>
      <c r="IO28" s="443"/>
      <c r="IP28" s="443"/>
      <c r="IQ28" s="443"/>
      <c r="IR28" s="443"/>
      <c r="IS28" s="443"/>
      <c r="IT28" s="443"/>
      <c r="IU28" s="443"/>
      <c r="IV28" s="443"/>
    </row>
    <row r="29" spans="1:256" s="444" customFormat="1" ht="31.5">
      <c r="A29" s="450"/>
      <c r="B29" s="450"/>
      <c r="C29" s="451">
        <v>4740</v>
      </c>
      <c r="D29" s="452" t="s">
        <v>558</v>
      </c>
      <c r="E29" s="453">
        <f>F29</f>
        <v>350</v>
      </c>
      <c r="F29" s="453">
        <f>I29</f>
        <v>350</v>
      </c>
      <c r="G29" s="453"/>
      <c r="H29" s="453"/>
      <c r="I29" s="453">
        <v>350</v>
      </c>
      <c r="J29" s="456"/>
      <c r="K29" s="456"/>
      <c r="L29" s="453"/>
      <c r="HY29" s="42"/>
      <c r="HZ29" s="42"/>
      <c r="IA29" s="443"/>
      <c r="IB29" s="443"/>
      <c r="IC29" s="443"/>
      <c r="ID29" s="443"/>
      <c r="IE29" s="443"/>
      <c r="IF29" s="443"/>
      <c r="IG29" s="443"/>
      <c r="IH29" s="443"/>
      <c r="II29" s="443"/>
      <c r="IJ29" s="443"/>
      <c r="IK29" s="443"/>
      <c r="IL29" s="443"/>
      <c r="IM29" s="443"/>
      <c r="IN29" s="443"/>
      <c r="IO29" s="443"/>
      <c r="IP29" s="443"/>
      <c r="IQ29" s="443"/>
      <c r="IR29" s="443"/>
      <c r="IS29" s="443"/>
      <c r="IT29" s="443"/>
      <c r="IU29" s="443"/>
      <c r="IV29" s="443"/>
    </row>
    <row r="30" spans="1:256" s="444" customFormat="1" ht="31.5">
      <c r="A30" s="450"/>
      <c r="B30" s="450"/>
      <c r="C30" s="451">
        <v>4750</v>
      </c>
      <c r="D30" s="452" t="s">
        <v>576</v>
      </c>
      <c r="E30" s="453">
        <f>F30</f>
        <v>4500</v>
      </c>
      <c r="F30" s="453">
        <f>I30</f>
        <v>4500</v>
      </c>
      <c r="G30" s="453"/>
      <c r="H30" s="453"/>
      <c r="I30" s="453">
        <v>4500</v>
      </c>
      <c r="J30" s="456"/>
      <c r="K30" s="456"/>
      <c r="L30" s="453"/>
      <c r="HY30" s="42"/>
      <c r="HZ30" s="42"/>
      <c r="IA30" s="443"/>
      <c r="IB30" s="443"/>
      <c r="IC30" s="443"/>
      <c r="ID30" s="443"/>
      <c r="IE30" s="443"/>
      <c r="IF30" s="443"/>
      <c r="IG30" s="443"/>
      <c r="IH30" s="443"/>
      <c r="II30" s="443"/>
      <c r="IJ30" s="443"/>
      <c r="IK30" s="443"/>
      <c r="IL30" s="443"/>
      <c r="IM30" s="443"/>
      <c r="IN30" s="443"/>
      <c r="IO30" s="443"/>
      <c r="IP30" s="443"/>
      <c r="IQ30" s="443"/>
      <c r="IR30" s="443"/>
      <c r="IS30" s="443"/>
      <c r="IT30" s="443"/>
      <c r="IU30" s="443"/>
      <c r="IV30" s="443"/>
    </row>
    <row r="31" spans="1:256" s="444" customFormat="1" ht="15.75">
      <c r="A31" s="204"/>
      <c r="B31" s="65">
        <v>80146</v>
      </c>
      <c r="C31" s="65"/>
      <c r="D31" s="66" t="s">
        <v>584</v>
      </c>
      <c r="E31" s="58">
        <f>SUM(E32:E36)</f>
        <v>680</v>
      </c>
      <c r="F31" s="58">
        <f>SUM(F32:F36)</f>
        <v>680</v>
      </c>
      <c r="G31" s="58">
        <f>SUM(G32:G36)</f>
        <v>0</v>
      </c>
      <c r="H31" s="58">
        <f>SUM(H32:H36)</f>
        <v>0</v>
      </c>
      <c r="I31" s="58">
        <f>SUM(F32:F36)</f>
        <v>680</v>
      </c>
      <c r="J31" s="58">
        <f>SUM(J32:J36)</f>
        <v>0</v>
      </c>
      <c r="K31" s="58">
        <f>SUM(K32:K36)</f>
        <v>0</v>
      </c>
      <c r="L31" s="58">
        <f>SUM(L32:L36)</f>
        <v>0</v>
      </c>
      <c r="HY31" s="42"/>
      <c r="HZ31" s="42"/>
      <c r="IA31" s="443"/>
      <c r="IB31" s="443"/>
      <c r="IC31" s="443"/>
      <c r="ID31" s="443"/>
      <c r="IE31" s="443"/>
      <c r="IF31" s="443"/>
      <c r="IG31" s="443"/>
      <c r="IH31" s="443"/>
      <c r="II31" s="443"/>
      <c r="IJ31" s="443"/>
      <c r="IK31" s="443"/>
      <c r="IL31" s="443"/>
      <c r="IM31" s="443"/>
      <c r="IN31" s="443"/>
      <c r="IO31" s="443"/>
      <c r="IP31" s="443"/>
      <c r="IQ31" s="443"/>
      <c r="IR31" s="443"/>
      <c r="IS31" s="443"/>
      <c r="IT31" s="443"/>
      <c r="IU31" s="443"/>
      <c r="IV31" s="443"/>
    </row>
    <row r="32" spans="1:256" s="444" customFormat="1" ht="15.75">
      <c r="A32" s="65"/>
      <c r="B32" s="65"/>
      <c r="C32" s="67">
        <v>4210</v>
      </c>
      <c r="D32" s="203" t="s">
        <v>555</v>
      </c>
      <c r="E32" s="61">
        <f>F32</f>
        <v>0</v>
      </c>
      <c r="F32" s="324">
        <v>0</v>
      </c>
      <c r="G32" s="61"/>
      <c r="H32" s="61"/>
      <c r="I32" s="406"/>
      <c r="J32" s="324"/>
      <c r="K32" s="324"/>
      <c r="L32" s="61"/>
      <c r="HY32" s="42"/>
      <c r="HZ32" s="42"/>
      <c r="IA32" s="443"/>
      <c r="IB32" s="443"/>
      <c r="IC32" s="443"/>
      <c r="ID32" s="443"/>
      <c r="IE32" s="443"/>
      <c r="IF32" s="443"/>
      <c r="IG32" s="443"/>
      <c r="IH32" s="443"/>
      <c r="II32" s="443"/>
      <c r="IJ32" s="443"/>
      <c r="IK32" s="443"/>
      <c r="IL32" s="443"/>
      <c r="IM32" s="443"/>
      <c r="IN32" s="443"/>
      <c r="IO32" s="443"/>
      <c r="IP32" s="443"/>
      <c r="IQ32" s="443"/>
      <c r="IR32" s="443"/>
      <c r="IS32" s="443"/>
      <c r="IT32" s="443"/>
      <c r="IU32" s="443"/>
      <c r="IV32" s="443"/>
    </row>
    <row r="33" spans="1:256" s="444" customFormat="1" ht="31.5">
      <c r="A33" s="65"/>
      <c r="B33" s="65"/>
      <c r="C33" s="357">
        <v>4240</v>
      </c>
      <c r="D33" s="181" t="s">
        <v>556</v>
      </c>
      <c r="E33" s="61">
        <f>F33</f>
        <v>0</v>
      </c>
      <c r="F33" s="324">
        <v>0</v>
      </c>
      <c r="G33" s="61"/>
      <c r="H33" s="61"/>
      <c r="I33" s="406"/>
      <c r="J33" s="324"/>
      <c r="K33" s="324"/>
      <c r="L33" s="61"/>
      <c r="HY33" s="42"/>
      <c r="HZ33" s="42"/>
      <c r="IA33" s="443"/>
      <c r="IB33" s="443"/>
      <c r="IC33" s="443"/>
      <c r="ID33" s="443"/>
      <c r="IE33" s="443"/>
      <c r="IF33" s="443"/>
      <c r="IG33" s="443"/>
      <c r="IH33" s="443"/>
      <c r="II33" s="443"/>
      <c r="IJ33" s="443"/>
      <c r="IK33" s="443"/>
      <c r="IL33" s="443"/>
      <c r="IM33" s="443"/>
      <c r="IN33" s="443"/>
      <c r="IO33" s="443"/>
      <c r="IP33" s="443"/>
      <c r="IQ33" s="443"/>
      <c r="IR33" s="443"/>
      <c r="IS33" s="443"/>
      <c r="IT33" s="443"/>
      <c r="IU33" s="443"/>
      <c r="IV33" s="443"/>
    </row>
    <row r="34" spans="1:256" s="444" customFormat="1" ht="15.75">
      <c r="A34" s="67"/>
      <c r="B34" s="67"/>
      <c r="C34" s="67">
        <v>4300</v>
      </c>
      <c r="D34" s="203" t="s">
        <v>569</v>
      </c>
      <c r="E34" s="61">
        <f>F34</f>
        <v>270</v>
      </c>
      <c r="F34" s="453">
        <v>270</v>
      </c>
      <c r="G34" s="61"/>
      <c r="H34" s="61"/>
      <c r="I34" s="406"/>
      <c r="J34" s="324"/>
      <c r="K34" s="324"/>
      <c r="L34" s="61"/>
      <c r="HY34" s="42"/>
      <c r="HZ34" s="42"/>
      <c r="IA34" s="443"/>
      <c r="IB34" s="443"/>
      <c r="IC34" s="443"/>
      <c r="ID34" s="443"/>
      <c r="IE34" s="443"/>
      <c r="IF34" s="443"/>
      <c r="IG34" s="443"/>
      <c r="IH34" s="443"/>
      <c r="II34" s="443"/>
      <c r="IJ34" s="443"/>
      <c r="IK34" s="443"/>
      <c r="IL34" s="443"/>
      <c r="IM34" s="443"/>
      <c r="IN34" s="443"/>
      <c r="IO34" s="443"/>
      <c r="IP34" s="443"/>
      <c r="IQ34" s="443"/>
      <c r="IR34" s="443"/>
      <c r="IS34" s="443"/>
      <c r="IT34" s="443"/>
      <c r="IU34" s="443"/>
      <c r="IV34" s="443"/>
    </row>
    <row r="35" spans="1:256" s="444" customFormat="1" ht="15.75">
      <c r="A35" s="67"/>
      <c r="B35" s="67"/>
      <c r="C35" s="67">
        <v>4410</v>
      </c>
      <c r="D35" s="203" t="s">
        <v>572</v>
      </c>
      <c r="E35" s="61">
        <f>F35</f>
        <v>210</v>
      </c>
      <c r="F35" s="453">
        <v>210</v>
      </c>
      <c r="G35" s="61"/>
      <c r="H35" s="61"/>
      <c r="I35" s="406"/>
      <c r="J35" s="324"/>
      <c r="K35" s="324"/>
      <c r="L35" s="61"/>
      <c r="HY35" s="42"/>
      <c r="HZ35" s="42"/>
      <c r="IA35" s="443"/>
      <c r="IB35" s="443"/>
      <c r="IC35" s="443"/>
      <c r="ID35" s="443"/>
      <c r="IE35" s="443"/>
      <c r="IF35" s="443"/>
      <c r="IG35" s="443"/>
      <c r="IH35" s="443"/>
      <c r="II35" s="443"/>
      <c r="IJ35" s="443"/>
      <c r="IK35" s="443"/>
      <c r="IL35" s="443"/>
      <c r="IM35" s="443"/>
      <c r="IN35" s="443"/>
      <c r="IO35" s="443"/>
      <c r="IP35" s="443"/>
      <c r="IQ35" s="443"/>
      <c r="IR35" s="443"/>
      <c r="IS35" s="443"/>
      <c r="IT35" s="443"/>
      <c r="IU35" s="443"/>
      <c r="IV35" s="443"/>
    </row>
    <row r="36" spans="1:256" s="444" customFormat="1" ht="31.5">
      <c r="A36" s="67"/>
      <c r="B36" s="67"/>
      <c r="C36" s="67">
        <v>4700</v>
      </c>
      <c r="D36" s="1" t="s">
        <v>519</v>
      </c>
      <c r="E36" s="61">
        <f>F36</f>
        <v>200</v>
      </c>
      <c r="F36" s="61">
        <v>200</v>
      </c>
      <c r="G36" s="61"/>
      <c r="H36" s="61"/>
      <c r="I36" s="406"/>
      <c r="J36" s="324"/>
      <c r="K36" s="324"/>
      <c r="L36" s="61"/>
      <c r="HY36" s="42"/>
      <c r="HZ36" s="42"/>
      <c r="IA36" s="443"/>
      <c r="IB36" s="443"/>
      <c r="IC36" s="443"/>
      <c r="ID36" s="443"/>
      <c r="IE36" s="443"/>
      <c r="IF36" s="443"/>
      <c r="IG36" s="443"/>
      <c r="IH36" s="443"/>
      <c r="II36" s="443"/>
      <c r="IJ36" s="443"/>
      <c r="IK36" s="443"/>
      <c r="IL36" s="443"/>
      <c r="IM36" s="443"/>
      <c r="IN36" s="443"/>
      <c r="IO36" s="443"/>
      <c r="IP36" s="443"/>
      <c r="IQ36" s="443"/>
      <c r="IR36" s="443"/>
      <c r="IS36" s="443"/>
      <c r="IT36" s="443"/>
      <c r="IU36" s="443"/>
      <c r="IV36" s="443"/>
    </row>
    <row r="37" spans="233:256" s="444" customFormat="1" ht="15.75">
      <c r="HY37" s="42"/>
      <c r="HZ37" s="42"/>
      <c r="IA37" s="443"/>
      <c r="IB37" s="443"/>
      <c r="IC37" s="443"/>
      <c r="ID37" s="443"/>
      <c r="IE37" s="443"/>
      <c r="IF37" s="443"/>
      <c r="IG37" s="443"/>
      <c r="IH37" s="443"/>
      <c r="II37" s="443"/>
      <c r="IJ37" s="443"/>
      <c r="IK37" s="443"/>
      <c r="IL37" s="443"/>
      <c r="IM37" s="443"/>
      <c r="IN37" s="443"/>
      <c r="IO37" s="443"/>
      <c r="IP37" s="443"/>
      <c r="IQ37" s="443"/>
      <c r="IR37" s="443"/>
      <c r="IS37" s="443"/>
      <c r="IT37" s="443"/>
      <c r="IU37" s="443"/>
      <c r="IV37" s="443"/>
    </row>
    <row r="38" spans="233:256" s="444" customFormat="1" ht="15.75">
      <c r="HY38" s="42"/>
      <c r="HZ38" s="42"/>
      <c r="IA38" s="443"/>
      <c r="IB38" s="443"/>
      <c r="IC38" s="443"/>
      <c r="ID38" s="443"/>
      <c r="IE38" s="443"/>
      <c r="IF38" s="443"/>
      <c r="IG38" s="443"/>
      <c r="IH38" s="443"/>
      <c r="II38" s="443"/>
      <c r="IJ38" s="443"/>
      <c r="IK38" s="443"/>
      <c r="IL38" s="443"/>
      <c r="IM38" s="443"/>
      <c r="IN38" s="443"/>
      <c r="IO38" s="443"/>
      <c r="IP38" s="443"/>
      <c r="IQ38" s="443"/>
      <c r="IR38" s="443"/>
      <c r="IS38" s="443"/>
      <c r="IT38" s="443"/>
      <c r="IU38" s="443"/>
      <c r="IV38" s="443"/>
    </row>
    <row r="39" spans="233:256" s="444" customFormat="1" ht="15.75">
      <c r="HY39" s="42"/>
      <c r="HZ39" s="42"/>
      <c r="IA39" s="443"/>
      <c r="IB39" s="443"/>
      <c r="IC39" s="443"/>
      <c r="ID39" s="443"/>
      <c r="IE39" s="443"/>
      <c r="IF39" s="443"/>
      <c r="IG39" s="443"/>
      <c r="IH39" s="443"/>
      <c r="II39" s="443"/>
      <c r="IJ39" s="443"/>
      <c r="IK39" s="443"/>
      <c r="IL39" s="443"/>
      <c r="IM39" s="443"/>
      <c r="IN39" s="443"/>
      <c r="IO39" s="443"/>
      <c r="IP39" s="443"/>
      <c r="IQ39" s="443"/>
      <c r="IR39" s="443"/>
      <c r="IS39" s="443"/>
      <c r="IT39" s="443"/>
      <c r="IU39" s="443"/>
      <c r="IV39" s="443"/>
    </row>
    <row r="40" spans="233:256" s="444" customFormat="1" ht="15.75">
      <c r="HY40" s="42"/>
      <c r="HZ40" s="42"/>
      <c r="IA40" s="443"/>
      <c r="IB40" s="443"/>
      <c r="IC40" s="443"/>
      <c r="ID40" s="443"/>
      <c r="IE40" s="443"/>
      <c r="IF40" s="443"/>
      <c r="IG40" s="443"/>
      <c r="IH40" s="443"/>
      <c r="II40" s="443"/>
      <c r="IJ40" s="443"/>
      <c r="IK40" s="443"/>
      <c r="IL40" s="443"/>
      <c r="IM40" s="443"/>
      <c r="IN40" s="443"/>
      <c r="IO40" s="443"/>
      <c r="IP40" s="443"/>
      <c r="IQ40" s="443"/>
      <c r="IR40" s="443"/>
      <c r="IS40" s="443"/>
      <c r="IT40" s="443"/>
      <c r="IU40" s="443"/>
      <c r="IV40" s="443"/>
    </row>
    <row r="41" spans="233:256" s="444" customFormat="1" ht="15.75">
      <c r="HY41" s="42"/>
      <c r="HZ41" s="42"/>
      <c r="IA41" s="443"/>
      <c r="IB41" s="443"/>
      <c r="IC41" s="443"/>
      <c r="ID41" s="443"/>
      <c r="IE41" s="443"/>
      <c r="IF41" s="443"/>
      <c r="IG41" s="443"/>
      <c r="IH41" s="443"/>
      <c r="II41" s="443"/>
      <c r="IJ41" s="443"/>
      <c r="IK41" s="443"/>
      <c r="IL41" s="443"/>
      <c r="IM41" s="443"/>
      <c r="IN41" s="443"/>
      <c r="IO41" s="443"/>
      <c r="IP41" s="443"/>
      <c r="IQ41" s="443"/>
      <c r="IR41" s="443"/>
      <c r="IS41" s="443"/>
      <c r="IT41" s="443"/>
      <c r="IU41" s="443"/>
      <c r="IV41" s="443"/>
    </row>
    <row r="42" spans="233:256" s="444" customFormat="1" ht="15.75">
      <c r="HY42" s="42"/>
      <c r="HZ42" s="42"/>
      <c r="IA42" s="443"/>
      <c r="IB42" s="443"/>
      <c r="IC42" s="443"/>
      <c r="ID42" s="443"/>
      <c r="IE42" s="443"/>
      <c r="IF42" s="443"/>
      <c r="IG42" s="443"/>
      <c r="IH42" s="443"/>
      <c r="II42" s="443"/>
      <c r="IJ42" s="443"/>
      <c r="IK42" s="443"/>
      <c r="IL42" s="443"/>
      <c r="IM42" s="443"/>
      <c r="IN42" s="443"/>
      <c r="IO42" s="443"/>
      <c r="IP42" s="443"/>
      <c r="IQ42" s="443"/>
      <c r="IR42" s="443"/>
      <c r="IS42" s="443"/>
      <c r="IT42" s="443"/>
      <c r="IU42" s="443"/>
      <c r="IV42" s="443"/>
    </row>
    <row r="43" spans="233:256" s="444" customFormat="1" ht="15.75">
      <c r="HY43" s="42"/>
      <c r="HZ43" s="42"/>
      <c r="IA43" s="443"/>
      <c r="IB43" s="443"/>
      <c r="IC43" s="443"/>
      <c r="ID43" s="443"/>
      <c r="IE43" s="443"/>
      <c r="IF43" s="443"/>
      <c r="IG43" s="443"/>
      <c r="IH43" s="443"/>
      <c r="II43" s="443"/>
      <c r="IJ43" s="443"/>
      <c r="IK43" s="443"/>
      <c r="IL43" s="443"/>
      <c r="IM43" s="443"/>
      <c r="IN43" s="443"/>
      <c r="IO43" s="443"/>
      <c r="IP43" s="443"/>
      <c r="IQ43" s="443"/>
      <c r="IR43" s="443"/>
      <c r="IS43" s="443"/>
      <c r="IT43" s="443"/>
      <c r="IU43" s="443"/>
      <c r="IV43" s="443"/>
    </row>
    <row r="44" spans="233:256" s="444" customFormat="1" ht="15.75">
      <c r="HY44" s="42"/>
      <c r="HZ44" s="42"/>
      <c r="IA44" s="443"/>
      <c r="IB44" s="443"/>
      <c r="IC44" s="443"/>
      <c r="ID44" s="443"/>
      <c r="IE44" s="443"/>
      <c r="IF44" s="443"/>
      <c r="IG44" s="443"/>
      <c r="IH44" s="443"/>
      <c r="II44" s="443"/>
      <c r="IJ44" s="443"/>
      <c r="IK44" s="443"/>
      <c r="IL44" s="443"/>
      <c r="IM44" s="443"/>
      <c r="IN44" s="443"/>
      <c r="IO44" s="443"/>
      <c r="IP44" s="443"/>
      <c r="IQ44" s="443"/>
      <c r="IR44" s="443"/>
      <c r="IS44" s="443"/>
      <c r="IT44" s="443"/>
      <c r="IU44" s="443"/>
      <c r="IV44" s="443"/>
    </row>
    <row r="45" spans="233:256" s="444" customFormat="1" ht="15.75">
      <c r="HY45" s="42"/>
      <c r="HZ45" s="42"/>
      <c r="IA45" s="443"/>
      <c r="IB45" s="443"/>
      <c r="IC45" s="443"/>
      <c r="ID45" s="443"/>
      <c r="IE45" s="443"/>
      <c r="IF45" s="443"/>
      <c r="IG45" s="443"/>
      <c r="IH45" s="443"/>
      <c r="II45" s="443"/>
      <c r="IJ45" s="443"/>
      <c r="IK45" s="443"/>
      <c r="IL45" s="443"/>
      <c r="IM45" s="443"/>
      <c r="IN45" s="443"/>
      <c r="IO45" s="443"/>
      <c r="IP45" s="443"/>
      <c r="IQ45" s="443"/>
      <c r="IR45" s="443"/>
      <c r="IS45" s="443"/>
      <c r="IT45" s="443"/>
      <c r="IU45" s="443"/>
      <c r="IV45" s="443"/>
    </row>
    <row r="46" spans="233:256" s="444" customFormat="1" ht="15.75">
      <c r="HY46" s="42"/>
      <c r="HZ46" s="42"/>
      <c r="IA46" s="443"/>
      <c r="IB46" s="443"/>
      <c r="IC46" s="443"/>
      <c r="ID46" s="443"/>
      <c r="IE46" s="443"/>
      <c r="IF46" s="443"/>
      <c r="IG46" s="443"/>
      <c r="IH46" s="443"/>
      <c r="II46" s="443"/>
      <c r="IJ46" s="443"/>
      <c r="IK46" s="443"/>
      <c r="IL46" s="443"/>
      <c r="IM46" s="443"/>
      <c r="IN46" s="443"/>
      <c r="IO46" s="443"/>
      <c r="IP46" s="443"/>
      <c r="IQ46" s="443"/>
      <c r="IR46" s="443"/>
      <c r="IS46" s="443"/>
      <c r="IT46" s="443"/>
      <c r="IU46" s="443"/>
      <c r="IV46" s="443"/>
    </row>
    <row r="47" spans="233:256" s="444" customFormat="1" ht="15.75">
      <c r="HY47" s="42"/>
      <c r="HZ47" s="42"/>
      <c r="IA47" s="443"/>
      <c r="IB47" s="443"/>
      <c r="IC47" s="443"/>
      <c r="ID47" s="443"/>
      <c r="IE47" s="443"/>
      <c r="IF47" s="443"/>
      <c r="IG47" s="443"/>
      <c r="IH47" s="443"/>
      <c r="II47" s="443"/>
      <c r="IJ47" s="443"/>
      <c r="IK47" s="443"/>
      <c r="IL47" s="443"/>
      <c r="IM47" s="443"/>
      <c r="IN47" s="443"/>
      <c r="IO47" s="443"/>
      <c r="IP47" s="443"/>
      <c r="IQ47" s="443"/>
      <c r="IR47" s="443"/>
      <c r="IS47" s="443"/>
      <c r="IT47" s="443"/>
      <c r="IU47" s="443"/>
      <c r="IV47" s="443"/>
    </row>
    <row r="48" spans="233:256" s="444" customFormat="1" ht="15.75">
      <c r="HY48" s="42"/>
      <c r="HZ48" s="42"/>
      <c r="IA48" s="443"/>
      <c r="IB48" s="443"/>
      <c r="IC48" s="443"/>
      <c r="ID48" s="443"/>
      <c r="IE48" s="443"/>
      <c r="IF48" s="443"/>
      <c r="IG48" s="443"/>
      <c r="IH48" s="443"/>
      <c r="II48" s="443"/>
      <c r="IJ48" s="443"/>
      <c r="IK48" s="443"/>
      <c r="IL48" s="443"/>
      <c r="IM48" s="443"/>
      <c r="IN48" s="443"/>
      <c r="IO48" s="443"/>
      <c r="IP48" s="443"/>
      <c r="IQ48" s="443"/>
      <c r="IR48" s="443"/>
      <c r="IS48" s="443"/>
      <c r="IT48" s="443"/>
      <c r="IU48" s="443"/>
      <c r="IV48" s="443"/>
    </row>
    <row r="49" spans="233:256" s="444" customFormat="1" ht="15.75">
      <c r="HY49" s="42"/>
      <c r="HZ49" s="42"/>
      <c r="IA49" s="443"/>
      <c r="IB49" s="443"/>
      <c r="IC49" s="443"/>
      <c r="ID49" s="443"/>
      <c r="IE49" s="443"/>
      <c r="IF49" s="443"/>
      <c r="IG49" s="443"/>
      <c r="IH49" s="443"/>
      <c r="II49" s="443"/>
      <c r="IJ49" s="443"/>
      <c r="IK49" s="443"/>
      <c r="IL49" s="443"/>
      <c r="IM49" s="443"/>
      <c r="IN49" s="443"/>
      <c r="IO49" s="443"/>
      <c r="IP49" s="443"/>
      <c r="IQ49" s="443"/>
      <c r="IR49" s="443"/>
      <c r="IS49" s="443"/>
      <c r="IT49" s="443"/>
      <c r="IU49" s="443"/>
      <c r="IV49" s="443"/>
    </row>
    <row r="50" spans="233:256" s="444" customFormat="1" ht="15.75">
      <c r="HY50" s="42"/>
      <c r="HZ50" s="42"/>
      <c r="IA50" s="443"/>
      <c r="IB50" s="443"/>
      <c r="IC50" s="443"/>
      <c r="ID50" s="443"/>
      <c r="IE50" s="443"/>
      <c r="IF50" s="443"/>
      <c r="IG50" s="443"/>
      <c r="IH50" s="443"/>
      <c r="II50" s="443"/>
      <c r="IJ50" s="443"/>
      <c r="IK50" s="443"/>
      <c r="IL50" s="443"/>
      <c r="IM50" s="443"/>
      <c r="IN50" s="443"/>
      <c r="IO50" s="443"/>
      <c r="IP50" s="443"/>
      <c r="IQ50" s="443"/>
      <c r="IR50" s="443"/>
      <c r="IS50" s="443"/>
      <c r="IT50" s="443"/>
      <c r="IU50" s="443"/>
      <c r="IV50" s="443"/>
    </row>
    <row r="51" spans="233:256" s="444" customFormat="1" ht="15.75">
      <c r="HY51" s="42"/>
      <c r="HZ51" s="42"/>
      <c r="IA51" s="443"/>
      <c r="IB51" s="443"/>
      <c r="IC51" s="443"/>
      <c r="ID51" s="443"/>
      <c r="IE51" s="443"/>
      <c r="IF51" s="443"/>
      <c r="IG51" s="443"/>
      <c r="IH51" s="443"/>
      <c r="II51" s="443"/>
      <c r="IJ51" s="443"/>
      <c r="IK51" s="443"/>
      <c r="IL51" s="443"/>
      <c r="IM51" s="443"/>
      <c r="IN51" s="443"/>
      <c r="IO51" s="443"/>
      <c r="IP51" s="443"/>
      <c r="IQ51" s="443"/>
      <c r="IR51" s="443"/>
      <c r="IS51" s="443"/>
      <c r="IT51" s="443"/>
      <c r="IU51" s="443"/>
      <c r="IV51" s="443"/>
    </row>
    <row r="52" spans="233:256" s="444" customFormat="1" ht="15.75">
      <c r="HY52" s="42"/>
      <c r="HZ52" s="42"/>
      <c r="IA52" s="443"/>
      <c r="IB52" s="443"/>
      <c r="IC52" s="443"/>
      <c r="ID52" s="443"/>
      <c r="IE52" s="443"/>
      <c r="IF52" s="443"/>
      <c r="IG52" s="443"/>
      <c r="IH52" s="443"/>
      <c r="II52" s="443"/>
      <c r="IJ52" s="443"/>
      <c r="IK52" s="443"/>
      <c r="IL52" s="443"/>
      <c r="IM52" s="443"/>
      <c r="IN52" s="443"/>
      <c r="IO52" s="443"/>
      <c r="IP52" s="443"/>
      <c r="IQ52" s="443"/>
      <c r="IR52" s="443"/>
      <c r="IS52" s="443"/>
      <c r="IT52" s="443"/>
      <c r="IU52" s="443"/>
      <c r="IV52" s="443"/>
    </row>
    <row r="53" spans="233:256" s="444" customFormat="1" ht="15.75">
      <c r="HY53" s="42"/>
      <c r="HZ53" s="42"/>
      <c r="IA53" s="443"/>
      <c r="IB53" s="443"/>
      <c r="IC53" s="443"/>
      <c r="ID53" s="443"/>
      <c r="IE53" s="443"/>
      <c r="IF53" s="443"/>
      <c r="IG53" s="443"/>
      <c r="IH53" s="443"/>
      <c r="II53" s="443"/>
      <c r="IJ53" s="443"/>
      <c r="IK53" s="443"/>
      <c r="IL53" s="443"/>
      <c r="IM53" s="443"/>
      <c r="IN53" s="443"/>
      <c r="IO53" s="443"/>
      <c r="IP53" s="443"/>
      <c r="IQ53" s="443"/>
      <c r="IR53" s="443"/>
      <c r="IS53" s="443"/>
      <c r="IT53" s="443"/>
      <c r="IU53" s="443"/>
      <c r="IV53" s="443"/>
    </row>
    <row r="54" spans="233:256" s="444" customFormat="1" ht="15.75">
      <c r="HY54" s="42"/>
      <c r="HZ54" s="42"/>
      <c r="IA54" s="443"/>
      <c r="IB54" s="443"/>
      <c r="IC54" s="443"/>
      <c r="ID54" s="443"/>
      <c r="IE54" s="443"/>
      <c r="IF54" s="443"/>
      <c r="IG54" s="443"/>
      <c r="IH54" s="443"/>
      <c r="II54" s="443"/>
      <c r="IJ54" s="443"/>
      <c r="IK54" s="443"/>
      <c r="IL54" s="443"/>
      <c r="IM54" s="443"/>
      <c r="IN54" s="443"/>
      <c r="IO54" s="443"/>
      <c r="IP54" s="443"/>
      <c r="IQ54" s="443"/>
      <c r="IR54" s="443"/>
      <c r="IS54" s="443"/>
      <c r="IT54" s="443"/>
      <c r="IU54" s="443"/>
      <c r="IV54" s="443"/>
    </row>
    <row r="55" spans="233:256" s="444" customFormat="1" ht="15.75">
      <c r="HY55" s="42"/>
      <c r="HZ55" s="42"/>
      <c r="IA55" s="443"/>
      <c r="IB55" s="443"/>
      <c r="IC55" s="443"/>
      <c r="ID55" s="443"/>
      <c r="IE55" s="443"/>
      <c r="IF55" s="443"/>
      <c r="IG55" s="443"/>
      <c r="IH55" s="443"/>
      <c r="II55" s="443"/>
      <c r="IJ55" s="443"/>
      <c r="IK55" s="443"/>
      <c r="IL55" s="443"/>
      <c r="IM55" s="443"/>
      <c r="IN55" s="443"/>
      <c r="IO55" s="443"/>
      <c r="IP55" s="443"/>
      <c r="IQ55" s="443"/>
      <c r="IR55" s="443"/>
      <c r="IS55" s="443"/>
      <c r="IT55" s="443"/>
      <c r="IU55" s="443"/>
      <c r="IV55" s="443"/>
    </row>
    <row r="56" spans="233:256" s="444" customFormat="1" ht="15.75">
      <c r="HY56" s="42"/>
      <c r="HZ56" s="42"/>
      <c r="IA56" s="443"/>
      <c r="IB56" s="443"/>
      <c r="IC56" s="443"/>
      <c r="ID56" s="443"/>
      <c r="IE56" s="443"/>
      <c r="IF56" s="443"/>
      <c r="IG56" s="443"/>
      <c r="IH56" s="443"/>
      <c r="II56" s="443"/>
      <c r="IJ56" s="443"/>
      <c r="IK56" s="443"/>
      <c r="IL56" s="443"/>
      <c r="IM56" s="443"/>
      <c r="IN56" s="443"/>
      <c r="IO56" s="443"/>
      <c r="IP56" s="443"/>
      <c r="IQ56" s="443"/>
      <c r="IR56" s="443"/>
      <c r="IS56" s="443"/>
      <c r="IT56" s="443"/>
      <c r="IU56" s="443"/>
      <c r="IV56" s="443"/>
    </row>
    <row r="57" spans="233:256" s="444" customFormat="1" ht="15.75">
      <c r="HY57" s="42"/>
      <c r="HZ57" s="42"/>
      <c r="IA57" s="443"/>
      <c r="IB57" s="443"/>
      <c r="IC57" s="443"/>
      <c r="ID57" s="443"/>
      <c r="IE57" s="443"/>
      <c r="IF57" s="443"/>
      <c r="IG57" s="443"/>
      <c r="IH57" s="443"/>
      <c r="II57" s="443"/>
      <c r="IJ57" s="443"/>
      <c r="IK57" s="443"/>
      <c r="IL57" s="443"/>
      <c r="IM57" s="443"/>
      <c r="IN57" s="443"/>
      <c r="IO57" s="443"/>
      <c r="IP57" s="443"/>
      <c r="IQ57" s="443"/>
      <c r="IR57" s="443"/>
      <c r="IS57" s="443"/>
      <c r="IT57" s="443"/>
      <c r="IU57" s="443"/>
      <c r="IV57" s="443"/>
    </row>
    <row r="58" spans="233:256" s="444" customFormat="1" ht="15.75">
      <c r="HY58" s="42"/>
      <c r="HZ58" s="42"/>
      <c r="IA58" s="443"/>
      <c r="IB58" s="443"/>
      <c r="IC58" s="443"/>
      <c r="ID58" s="443"/>
      <c r="IE58" s="443"/>
      <c r="IF58" s="443"/>
      <c r="IG58" s="443"/>
      <c r="IH58" s="443"/>
      <c r="II58" s="443"/>
      <c r="IJ58" s="443"/>
      <c r="IK58" s="443"/>
      <c r="IL58" s="443"/>
      <c r="IM58" s="443"/>
      <c r="IN58" s="443"/>
      <c r="IO58" s="443"/>
      <c r="IP58" s="443"/>
      <c r="IQ58" s="443"/>
      <c r="IR58" s="443"/>
      <c r="IS58" s="443"/>
      <c r="IT58" s="443"/>
      <c r="IU58" s="443"/>
      <c r="IV58" s="443"/>
    </row>
    <row r="59" spans="233:256" s="444" customFormat="1" ht="15.75">
      <c r="HY59" s="42"/>
      <c r="HZ59" s="42"/>
      <c r="IA59" s="443"/>
      <c r="IB59" s="443"/>
      <c r="IC59" s="443"/>
      <c r="ID59" s="443"/>
      <c r="IE59" s="443"/>
      <c r="IF59" s="443"/>
      <c r="IG59" s="443"/>
      <c r="IH59" s="443"/>
      <c r="II59" s="443"/>
      <c r="IJ59" s="443"/>
      <c r="IK59" s="443"/>
      <c r="IL59" s="443"/>
      <c r="IM59" s="443"/>
      <c r="IN59" s="443"/>
      <c r="IO59" s="443"/>
      <c r="IP59" s="443"/>
      <c r="IQ59" s="443"/>
      <c r="IR59" s="443"/>
      <c r="IS59" s="443"/>
      <c r="IT59" s="443"/>
      <c r="IU59" s="443"/>
      <c r="IV59" s="443"/>
    </row>
    <row r="60" spans="233:256" s="444" customFormat="1" ht="15.75">
      <c r="HY60" s="42"/>
      <c r="HZ60" s="42"/>
      <c r="IA60" s="443"/>
      <c r="IB60" s="443"/>
      <c r="IC60" s="443"/>
      <c r="ID60" s="443"/>
      <c r="IE60" s="443"/>
      <c r="IF60" s="443"/>
      <c r="IG60" s="443"/>
      <c r="IH60" s="443"/>
      <c r="II60" s="443"/>
      <c r="IJ60" s="443"/>
      <c r="IK60" s="443"/>
      <c r="IL60" s="443"/>
      <c r="IM60" s="443"/>
      <c r="IN60" s="443"/>
      <c r="IO60" s="443"/>
      <c r="IP60" s="443"/>
      <c r="IQ60" s="443"/>
      <c r="IR60" s="443"/>
      <c r="IS60" s="443"/>
      <c r="IT60" s="443"/>
      <c r="IU60" s="443"/>
      <c r="IV60" s="443"/>
    </row>
    <row r="61" spans="233:256" s="444" customFormat="1" ht="15.75">
      <c r="HY61" s="42"/>
      <c r="HZ61" s="42"/>
      <c r="IA61" s="443"/>
      <c r="IB61" s="443"/>
      <c r="IC61" s="443"/>
      <c r="ID61" s="443"/>
      <c r="IE61" s="443"/>
      <c r="IF61" s="443"/>
      <c r="IG61" s="443"/>
      <c r="IH61" s="443"/>
      <c r="II61" s="443"/>
      <c r="IJ61" s="443"/>
      <c r="IK61" s="443"/>
      <c r="IL61" s="443"/>
      <c r="IM61" s="443"/>
      <c r="IN61" s="443"/>
      <c r="IO61" s="443"/>
      <c r="IP61" s="443"/>
      <c r="IQ61" s="443"/>
      <c r="IR61" s="443"/>
      <c r="IS61" s="443"/>
      <c r="IT61" s="443"/>
      <c r="IU61" s="443"/>
      <c r="IV61" s="443"/>
    </row>
    <row r="62" spans="233:256" s="444" customFormat="1" ht="15.75">
      <c r="HY62" s="42"/>
      <c r="HZ62" s="42"/>
      <c r="IA62" s="443"/>
      <c r="IB62" s="443"/>
      <c r="IC62" s="443"/>
      <c r="ID62" s="443"/>
      <c r="IE62" s="443"/>
      <c r="IF62" s="443"/>
      <c r="IG62" s="443"/>
      <c r="IH62" s="443"/>
      <c r="II62" s="443"/>
      <c r="IJ62" s="443"/>
      <c r="IK62" s="443"/>
      <c r="IL62" s="443"/>
      <c r="IM62" s="443"/>
      <c r="IN62" s="443"/>
      <c r="IO62" s="443"/>
      <c r="IP62" s="443"/>
      <c r="IQ62" s="443"/>
      <c r="IR62" s="443"/>
      <c r="IS62" s="443"/>
      <c r="IT62" s="443"/>
      <c r="IU62" s="443"/>
      <c r="IV62" s="443"/>
    </row>
    <row r="63" spans="233:256" s="444" customFormat="1" ht="15.75">
      <c r="HY63" s="42"/>
      <c r="HZ63" s="42"/>
      <c r="IA63" s="443"/>
      <c r="IB63" s="443"/>
      <c r="IC63" s="443"/>
      <c r="ID63" s="443"/>
      <c r="IE63" s="443"/>
      <c r="IF63" s="443"/>
      <c r="IG63" s="443"/>
      <c r="IH63" s="443"/>
      <c r="II63" s="443"/>
      <c r="IJ63" s="443"/>
      <c r="IK63" s="443"/>
      <c r="IL63" s="443"/>
      <c r="IM63" s="443"/>
      <c r="IN63" s="443"/>
      <c r="IO63" s="443"/>
      <c r="IP63" s="443"/>
      <c r="IQ63" s="443"/>
      <c r="IR63" s="443"/>
      <c r="IS63" s="443"/>
      <c r="IT63" s="443"/>
      <c r="IU63" s="443"/>
      <c r="IV63" s="443"/>
    </row>
    <row r="64" spans="233:256" s="444" customFormat="1" ht="15.75">
      <c r="HY64" s="42"/>
      <c r="HZ64" s="42"/>
      <c r="IA64" s="443"/>
      <c r="IB64" s="443"/>
      <c r="IC64" s="443"/>
      <c r="ID64" s="443"/>
      <c r="IE64" s="443"/>
      <c r="IF64" s="443"/>
      <c r="IG64" s="443"/>
      <c r="IH64" s="443"/>
      <c r="II64" s="443"/>
      <c r="IJ64" s="443"/>
      <c r="IK64" s="443"/>
      <c r="IL64" s="443"/>
      <c r="IM64" s="443"/>
      <c r="IN64" s="443"/>
      <c r="IO64" s="443"/>
      <c r="IP64" s="443"/>
      <c r="IQ64" s="443"/>
      <c r="IR64" s="443"/>
      <c r="IS64" s="443"/>
      <c r="IT64" s="443"/>
      <c r="IU64" s="443"/>
      <c r="IV64" s="443"/>
    </row>
    <row r="65" spans="233:256" s="444" customFormat="1" ht="15.75">
      <c r="HY65" s="42"/>
      <c r="HZ65" s="42"/>
      <c r="IA65" s="443"/>
      <c r="IB65" s="443"/>
      <c r="IC65" s="443"/>
      <c r="ID65" s="443"/>
      <c r="IE65" s="443"/>
      <c r="IF65" s="443"/>
      <c r="IG65" s="443"/>
      <c r="IH65" s="443"/>
      <c r="II65" s="443"/>
      <c r="IJ65" s="443"/>
      <c r="IK65" s="443"/>
      <c r="IL65" s="443"/>
      <c r="IM65" s="443"/>
      <c r="IN65" s="443"/>
      <c r="IO65" s="443"/>
      <c r="IP65" s="443"/>
      <c r="IQ65" s="443"/>
      <c r="IR65" s="443"/>
      <c r="IS65" s="443"/>
      <c r="IT65" s="443"/>
      <c r="IU65" s="443"/>
      <c r="IV65" s="443"/>
    </row>
    <row r="66" spans="233:256" s="444" customFormat="1" ht="15.75">
      <c r="HY66" s="42"/>
      <c r="HZ66" s="42"/>
      <c r="IA66" s="443"/>
      <c r="IB66" s="443"/>
      <c r="IC66" s="443"/>
      <c r="ID66" s="443"/>
      <c r="IE66" s="443"/>
      <c r="IF66" s="443"/>
      <c r="IG66" s="443"/>
      <c r="IH66" s="443"/>
      <c r="II66" s="443"/>
      <c r="IJ66" s="443"/>
      <c r="IK66" s="443"/>
      <c r="IL66" s="443"/>
      <c r="IM66" s="443"/>
      <c r="IN66" s="443"/>
      <c r="IO66" s="443"/>
      <c r="IP66" s="443"/>
      <c r="IQ66" s="443"/>
      <c r="IR66" s="443"/>
      <c r="IS66" s="443"/>
      <c r="IT66" s="443"/>
      <c r="IU66" s="443"/>
      <c r="IV66" s="443"/>
    </row>
    <row r="67" spans="233:256" s="444" customFormat="1" ht="15.75">
      <c r="HY67" s="42"/>
      <c r="HZ67" s="42"/>
      <c r="IA67" s="443"/>
      <c r="IB67" s="443"/>
      <c r="IC67" s="443"/>
      <c r="ID67" s="443"/>
      <c r="IE67" s="443"/>
      <c r="IF67" s="443"/>
      <c r="IG67" s="443"/>
      <c r="IH67" s="443"/>
      <c r="II67" s="443"/>
      <c r="IJ67" s="443"/>
      <c r="IK67" s="443"/>
      <c r="IL67" s="443"/>
      <c r="IM67" s="443"/>
      <c r="IN67" s="443"/>
      <c r="IO67" s="443"/>
      <c r="IP67" s="443"/>
      <c r="IQ67" s="443"/>
      <c r="IR67" s="443"/>
      <c r="IS67" s="443"/>
      <c r="IT67" s="443"/>
      <c r="IU67" s="443"/>
      <c r="IV67" s="443"/>
    </row>
    <row r="68" spans="233:256" s="444" customFormat="1" ht="15.75">
      <c r="HY68" s="42"/>
      <c r="HZ68" s="42"/>
      <c r="IA68" s="443"/>
      <c r="IB68" s="443"/>
      <c r="IC68" s="443"/>
      <c r="ID68" s="443"/>
      <c r="IE68" s="443"/>
      <c r="IF68" s="443"/>
      <c r="IG68" s="443"/>
      <c r="IH68" s="443"/>
      <c r="II68" s="443"/>
      <c r="IJ68" s="443"/>
      <c r="IK68" s="443"/>
      <c r="IL68" s="443"/>
      <c r="IM68" s="443"/>
      <c r="IN68" s="443"/>
      <c r="IO68" s="443"/>
      <c r="IP68" s="443"/>
      <c r="IQ68" s="443"/>
      <c r="IR68" s="443"/>
      <c r="IS68" s="443"/>
      <c r="IT68" s="443"/>
      <c r="IU68" s="443"/>
      <c r="IV68" s="443"/>
    </row>
    <row r="69" spans="233:256" s="444" customFormat="1" ht="15.75">
      <c r="HY69" s="42"/>
      <c r="HZ69" s="42"/>
      <c r="IA69" s="443"/>
      <c r="IB69" s="443"/>
      <c r="IC69" s="443"/>
      <c r="ID69" s="443"/>
      <c r="IE69" s="443"/>
      <c r="IF69" s="443"/>
      <c r="IG69" s="443"/>
      <c r="IH69" s="443"/>
      <c r="II69" s="443"/>
      <c r="IJ69" s="443"/>
      <c r="IK69" s="443"/>
      <c r="IL69" s="443"/>
      <c r="IM69" s="443"/>
      <c r="IN69" s="443"/>
      <c r="IO69" s="443"/>
      <c r="IP69" s="443"/>
      <c r="IQ69" s="443"/>
      <c r="IR69" s="443"/>
      <c r="IS69" s="443"/>
      <c r="IT69" s="443"/>
      <c r="IU69" s="443"/>
      <c r="IV69" s="443"/>
    </row>
    <row r="70" spans="233:256" s="444" customFormat="1" ht="15.75">
      <c r="HY70" s="42"/>
      <c r="HZ70" s="42"/>
      <c r="IA70" s="443"/>
      <c r="IB70" s="443"/>
      <c r="IC70" s="443"/>
      <c r="ID70" s="443"/>
      <c r="IE70" s="443"/>
      <c r="IF70" s="443"/>
      <c r="IG70" s="443"/>
      <c r="IH70" s="443"/>
      <c r="II70" s="443"/>
      <c r="IJ70" s="443"/>
      <c r="IK70" s="443"/>
      <c r="IL70" s="443"/>
      <c r="IM70" s="443"/>
      <c r="IN70" s="443"/>
      <c r="IO70" s="443"/>
      <c r="IP70" s="443"/>
      <c r="IQ70" s="443"/>
      <c r="IR70" s="443"/>
      <c r="IS70" s="443"/>
      <c r="IT70" s="443"/>
      <c r="IU70" s="443"/>
      <c r="IV70" s="443"/>
    </row>
    <row r="71" spans="233:256" s="444" customFormat="1" ht="15.75">
      <c r="HY71" s="42"/>
      <c r="HZ71" s="42"/>
      <c r="IA71" s="443"/>
      <c r="IB71" s="443"/>
      <c r="IC71" s="443"/>
      <c r="ID71" s="443"/>
      <c r="IE71" s="443"/>
      <c r="IF71" s="443"/>
      <c r="IG71" s="443"/>
      <c r="IH71" s="443"/>
      <c r="II71" s="443"/>
      <c r="IJ71" s="443"/>
      <c r="IK71" s="443"/>
      <c r="IL71" s="443"/>
      <c r="IM71" s="443"/>
      <c r="IN71" s="443"/>
      <c r="IO71" s="443"/>
      <c r="IP71" s="443"/>
      <c r="IQ71" s="443"/>
      <c r="IR71" s="443"/>
      <c r="IS71" s="443"/>
      <c r="IT71" s="443"/>
      <c r="IU71" s="443"/>
      <c r="IV71" s="443"/>
    </row>
    <row r="72" spans="233:256" s="444" customFormat="1" ht="15.75">
      <c r="HY72" s="42"/>
      <c r="HZ72" s="42"/>
      <c r="IA72" s="443"/>
      <c r="IB72" s="443"/>
      <c r="IC72" s="443"/>
      <c r="ID72" s="443"/>
      <c r="IE72" s="443"/>
      <c r="IF72" s="443"/>
      <c r="IG72" s="443"/>
      <c r="IH72" s="443"/>
      <c r="II72" s="443"/>
      <c r="IJ72" s="443"/>
      <c r="IK72" s="443"/>
      <c r="IL72" s="443"/>
      <c r="IM72" s="443"/>
      <c r="IN72" s="443"/>
      <c r="IO72" s="443"/>
      <c r="IP72" s="443"/>
      <c r="IQ72" s="443"/>
      <c r="IR72" s="443"/>
      <c r="IS72" s="443"/>
      <c r="IT72" s="443"/>
      <c r="IU72" s="443"/>
      <c r="IV72" s="443"/>
    </row>
    <row r="73" spans="233:256" s="444" customFormat="1" ht="15.75">
      <c r="HY73" s="42"/>
      <c r="HZ73" s="42"/>
      <c r="IA73" s="443"/>
      <c r="IB73" s="443"/>
      <c r="IC73" s="443"/>
      <c r="ID73" s="443"/>
      <c r="IE73" s="443"/>
      <c r="IF73" s="443"/>
      <c r="IG73" s="443"/>
      <c r="IH73" s="443"/>
      <c r="II73" s="443"/>
      <c r="IJ73" s="443"/>
      <c r="IK73" s="443"/>
      <c r="IL73" s="443"/>
      <c r="IM73" s="443"/>
      <c r="IN73" s="443"/>
      <c r="IO73" s="443"/>
      <c r="IP73" s="443"/>
      <c r="IQ73" s="443"/>
      <c r="IR73" s="443"/>
      <c r="IS73" s="443"/>
      <c r="IT73" s="443"/>
      <c r="IU73" s="443"/>
      <c r="IV73" s="443"/>
    </row>
    <row r="74" spans="233:256" s="444" customFormat="1" ht="15.75">
      <c r="HY74" s="42"/>
      <c r="HZ74" s="42"/>
      <c r="IA74" s="443"/>
      <c r="IB74" s="443"/>
      <c r="IC74" s="443"/>
      <c r="ID74" s="443"/>
      <c r="IE74" s="443"/>
      <c r="IF74" s="443"/>
      <c r="IG74" s="443"/>
      <c r="IH74" s="443"/>
      <c r="II74" s="443"/>
      <c r="IJ74" s="443"/>
      <c r="IK74" s="443"/>
      <c r="IL74" s="443"/>
      <c r="IM74" s="443"/>
      <c r="IN74" s="443"/>
      <c r="IO74" s="443"/>
      <c r="IP74" s="443"/>
      <c r="IQ74" s="443"/>
      <c r="IR74" s="443"/>
      <c r="IS74" s="443"/>
      <c r="IT74" s="443"/>
      <c r="IU74" s="443"/>
      <c r="IV74" s="443"/>
    </row>
    <row r="75" spans="233:256" s="444" customFormat="1" ht="15.75">
      <c r="HY75" s="42"/>
      <c r="HZ75" s="42"/>
      <c r="IA75" s="443"/>
      <c r="IB75" s="443"/>
      <c r="IC75" s="443"/>
      <c r="ID75" s="443"/>
      <c r="IE75" s="443"/>
      <c r="IF75" s="443"/>
      <c r="IG75" s="443"/>
      <c r="IH75" s="443"/>
      <c r="II75" s="443"/>
      <c r="IJ75" s="443"/>
      <c r="IK75" s="443"/>
      <c r="IL75" s="443"/>
      <c r="IM75" s="443"/>
      <c r="IN75" s="443"/>
      <c r="IO75" s="443"/>
      <c r="IP75" s="443"/>
      <c r="IQ75" s="443"/>
      <c r="IR75" s="443"/>
      <c r="IS75" s="443"/>
      <c r="IT75" s="443"/>
      <c r="IU75" s="443"/>
      <c r="IV75" s="443"/>
    </row>
    <row r="76" spans="233:256" s="444" customFormat="1" ht="15.75">
      <c r="HY76" s="42"/>
      <c r="HZ76" s="42"/>
      <c r="IA76" s="443"/>
      <c r="IB76" s="443"/>
      <c r="IC76" s="443"/>
      <c r="ID76" s="443"/>
      <c r="IE76" s="443"/>
      <c r="IF76" s="443"/>
      <c r="IG76" s="443"/>
      <c r="IH76" s="443"/>
      <c r="II76" s="443"/>
      <c r="IJ76" s="443"/>
      <c r="IK76" s="443"/>
      <c r="IL76" s="443"/>
      <c r="IM76" s="443"/>
      <c r="IN76" s="443"/>
      <c r="IO76" s="443"/>
      <c r="IP76" s="443"/>
      <c r="IQ76" s="443"/>
      <c r="IR76" s="443"/>
      <c r="IS76" s="443"/>
      <c r="IT76" s="443"/>
      <c r="IU76" s="443"/>
      <c r="IV76" s="443"/>
    </row>
    <row r="77" spans="233:256" s="444" customFormat="1" ht="15.75">
      <c r="HY77" s="42"/>
      <c r="HZ77" s="42"/>
      <c r="IA77" s="443"/>
      <c r="IB77" s="443"/>
      <c r="IC77" s="443"/>
      <c r="ID77" s="443"/>
      <c r="IE77" s="443"/>
      <c r="IF77" s="443"/>
      <c r="IG77" s="443"/>
      <c r="IH77" s="443"/>
      <c r="II77" s="443"/>
      <c r="IJ77" s="443"/>
      <c r="IK77" s="443"/>
      <c r="IL77" s="443"/>
      <c r="IM77" s="443"/>
      <c r="IN77" s="443"/>
      <c r="IO77" s="443"/>
      <c r="IP77" s="443"/>
      <c r="IQ77" s="443"/>
      <c r="IR77" s="443"/>
      <c r="IS77" s="443"/>
      <c r="IT77" s="443"/>
      <c r="IU77" s="443"/>
      <c r="IV77" s="443"/>
    </row>
    <row r="78" spans="233:256" s="444" customFormat="1" ht="15.75">
      <c r="HY78" s="42"/>
      <c r="HZ78" s="42"/>
      <c r="IA78" s="443"/>
      <c r="IB78" s="443"/>
      <c r="IC78" s="443"/>
      <c r="ID78" s="443"/>
      <c r="IE78" s="443"/>
      <c r="IF78" s="443"/>
      <c r="IG78" s="443"/>
      <c r="IH78" s="443"/>
      <c r="II78" s="443"/>
      <c r="IJ78" s="443"/>
      <c r="IK78" s="443"/>
      <c r="IL78" s="443"/>
      <c r="IM78" s="443"/>
      <c r="IN78" s="443"/>
      <c r="IO78" s="443"/>
      <c r="IP78" s="443"/>
      <c r="IQ78" s="443"/>
      <c r="IR78" s="443"/>
      <c r="IS78" s="443"/>
      <c r="IT78" s="443"/>
      <c r="IU78" s="443"/>
      <c r="IV78" s="443"/>
    </row>
    <row r="79" spans="233:256" s="444" customFormat="1" ht="15.75">
      <c r="HY79" s="42"/>
      <c r="HZ79" s="42"/>
      <c r="IA79" s="443"/>
      <c r="IB79" s="443"/>
      <c r="IC79" s="443"/>
      <c r="ID79" s="443"/>
      <c r="IE79" s="443"/>
      <c r="IF79" s="443"/>
      <c r="IG79" s="443"/>
      <c r="IH79" s="443"/>
      <c r="II79" s="443"/>
      <c r="IJ79" s="443"/>
      <c r="IK79" s="443"/>
      <c r="IL79" s="443"/>
      <c r="IM79" s="443"/>
      <c r="IN79" s="443"/>
      <c r="IO79" s="443"/>
      <c r="IP79" s="443"/>
      <c r="IQ79" s="443"/>
      <c r="IR79" s="443"/>
      <c r="IS79" s="443"/>
      <c r="IT79" s="443"/>
      <c r="IU79" s="443"/>
      <c r="IV79" s="443"/>
    </row>
    <row r="80" spans="233:256" s="444" customFormat="1" ht="15.75">
      <c r="HY80" s="42"/>
      <c r="HZ80" s="42"/>
      <c r="IA80" s="443"/>
      <c r="IB80" s="443"/>
      <c r="IC80" s="443"/>
      <c r="ID80" s="443"/>
      <c r="IE80" s="443"/>
      <c r="IF80" s="443"/>
      <c r="IG80" s="443"/>
      <c r="IH80" s="443"/>
      <c r="II80" s="443"/>
      <c r="IJ80" s="443"/>
      <c r="IK80" s="443"/>
      <c r="IL80" s="443"/>
      <c r="IM80" s="443"/>
      <c r="IN80" s="443"/>
      <c r="IO80" s="443"/>
      <c r="IP80" s="443"/>
      <c r="IQ80" s="443"/>
      <c r="IR80" s="443"/>
      <c r="IS80" s="443"/>
      <c r="IT80" s="443"/>
      <c r="IU80" s="443"/>
      <c r="IV80" s="443"/>
    </row>
    <row r="81" spans="233:256" s="444" customFormat="1" ht="15.75">
      <c r="HY81" s="42"/>
      <c r="HZ81" s="42"/>
      <c r="IA81" s="443"/>
      <c r="IB81" s="443"/>
      <c r="IC81" s="443"/>
      <c r="ID81" s="443"/>
      <c r="IE81" s="443"/>
      <c r="IF81" s="443"/>
      <c r="IG81" s="443"/>
      <c r="IH81" s="443"/>
      <c r="II81" s="443"/>
      <c r="IJ81" s="443"/>
      <c r="IK81" s="443"/>
      <c r="IL81" s="443"/>
      <c r="IM81" s="443"/>
      <c r="IN81" s="443"/>
      <c r="IO81" s="443"/>
      <c r="IP81" s="443"/>
      <c r="IQ81" s="443"/>
      <c r="IR81" s="443"/>
      <c r="IS81" s="443"/>
      <c r="IT81" s="443"/>
      <c r="IU81" s="443"/>
      <c r="IV81" s="443"/>
    </row>
    <row r="82" spans="233:256" s="444" customFormat="1" ht="15.75">
      <c r="HY82" s="42"/>
      <c r="HZ82" s="42"/>
      <c r="IA82" s="443"/>
      <c r="IB82" s="443"/>
      <c r="IC82" s="443"/>
      <c r="ID82" s="443"/>
      <c r="IE82" s="443"/>
      <c r="IF82" s="443"/>
      <c r="IG82" s="443"/>
      <c r="IH82" s="443"/>
      <c r="II82" s="443"/>
      <c r="IJ82" s="443"/>
      <c r="IK82" s="443"/>
      <c r="IL82" s="443"/>
      <c r="IM82" s="443"/>
      <c r="IN82" s="443"/>
      <c r="IO82" s="443"/>
      <c r="IP82" s="443"/>
      <c r="IQ82" s="443"/>
      <c r="IR82" s="443"/>
      <c r="IS82" s="443"/>
      <c r="IT82" s="443"/>
      <c r="IU82" s="443"/>
      <c r="IV82" s="443"/>
    </row>
    <row r="83" spans="233:256" s="444" customFormat="1" ht="15.75">
      <c r="HY83" s="42"/>
      <c r="HZ83" s="42"/>
      <c r="IA83" s="443"/>
      <c r="IB83" s="443"/>
      <c r="IC83" s="443"/>
      <c r="ID83" s="443"/>
      <c r="IE83" s="443"/>
      <c r="IF83" s="443"/>
      <c r="IG83" s="443"/>
      <c r="IH83" s="443"/>
      <c r="II83" s="443"/>
      <c r="IJ83" s="443"/>
      <c r="IK83" s="443"/>
      <c r="IL83" s="443"/>
      <c r="IM83" s="443"/>
      <c r="IN83" s="443"/>
      <c r="IO83" s="443"/>
      <c r="IP83" s="443"/>
      <c r="IQ83" s="443"/>
      <c r="IR83" s="443"/>
      <c r="IS83" s="443"/>
      <c r="IT83" s="443"/>
      <c r="IU83" s="443"/>
      <c r="IV83" s="443"/>
    </row>
    <row r="84" spans="233:256" s="444" customFormat="1" ht="15.75">
      <c r="HY84" s="42"/>
      <c r="HZ84" s="42"/>
      <c r="IA84" s="443"/>
      <c r="IB84" s="443"/>
      <c r="IC84" s="443"/>
      <c r="ID84" s="443"/>
      <c r="IE84" s="443"/>
      <c r="IF84" s="443"/>
      <c r="IG84" s="443"/>
      <c r="IH84" s="443"/>
      <c r="II84" s="443"/>
      <c r="IJ84" s="443"/>
      <c r="IK84" s="443"/>
      <c r="IL84" s="443"/>
      <c r="IM84" s="443"/>
      <c r="IN84" s="443"/>
      <c r="IO84" s="443"/>
      <c r="IP84" s="443"/>
      <c r="IQ84" s="443"/>
      <c r="IR84" s="443"/>
      <c r="IS84" s="443"/>
      <c r="IT84" s="443"/>
      <c r="IU84" s="443"/>
      <c r="IV84" s="443"/>
    </row>
    <row r="85" spans="233:256" s="444" customFormat="1" ht="15.75">
      <c r="HY85" s="42"/>
      <c r="HZ85" s="42"/>
      <c r="IA85" s="443"/>
      <c r="IB85" s="443"/>
      <c r="IC85" s="443"/>
      <c r="ID85" s="443"/>
      <c r="IE85" s="443"/>
      <c r="IF85" s="443"/>
      <c r="IG85" s="443"/>
      <c r="IH85" s="443"/>
      <c r="II85" s="443"/>
      <c r="IJ85" s="443"/>
      <c r="IK85" s="443"/>
      <c r="IL85" s="443"/>
      <c r="IM85" s="443"/>
      <c r="IN85" s="443"/>
      <c r="IO85" s="443"/>
      <c r="IP85" s="443"/>
      <c r="IQ85" s="443"/>
      <c r="IR85" s="443"/>
      <c r="IS85" s="443"/>
      <c r="IT85" s="443"/>
      <c r="IU85" s="443"/>
      <c r="IV85" s="443"/>
    </row>
    <row r="86" spans="233:256" s="444" customFormat="1" ht="15.75">
      <c r="HY86" s="42"/>
      <c r="HZ86" s="42"/>
      <c r="IA86" s="443"/>
      <c r="IB86" s="443"/>
      <c r="IC86" s="443"/>
      <c r="ID86" s="443"/>
      <c r="IE86" s="443"/>
      <c r="IF86" s="443"/>
      <c r="IG86" s="443"/>
      <c r="IH86" s="443"/>
      <c r="II86" s="443"/>
      <c r="IJ86" s="443"/>
      <c r="IK86" s="443"/>
      <c r="IL86" s="443"/>
      <c r="IM86" s="443"/>
      <c r="IN86" s="443"/>
      <c r="IO86" s="443"/>
      <c r="IP86" s="443"/>
      <c r="IQ86" s="443"/>
      <c r="IR86" s="443"/>
      <c r="IS86" s="443"/>
      <c r="IT86" s="443"/>
      <c r="IU86" s="443"/>
      <c r="IV86" s="443"/>
    </row>
    <row r="87" spans="233:256" s="444" customFormat="1" ht="15.75">
      <c r="HY87" s="42"/>
      <c r="HZ87" s="42"/>
      <c r="IA87" s="443"/>
      <c r="IB87" s="443"/>
      <c r="IC87" s="443"/>
      <c r="ID87" s="443"/>
      <c r="IE87" s="443"/>
      <c r="IF87" s="443"/>
      <c r="IG87" s="443"/>
      <c r="IH87" s="443"/>
      <c r="II87" s="443"/>
      <c r="IJ87" s="443"/>
      <c r="IK87" s="443"/>
      <c r="IL87" s="443"/>
      <c r="IM87" s="443"/>
      <c r="IN87" s="443"/>
      <c r="IO87" s="443"/>
      <c r="IP87" s="443"/>
      <c r="IQ87" s="443"/>
      <c r="IR87" s="443"/>
      <c r="IS87" s="443"/>
      <c r="IT87" s="443"/>
      <c r="IU87" s="443"/>
      <c r="IV87" s="443"/>
    </row>
    <row r="88" spans="233:256" s="444" customFormat="1" ht="15.75">
      <c r="HY88" s="42"/>
      <c r="HZ88" s="42"/>
      <c r="IA88" s="443"/>
      <c r="IB88" s="443"/>
      <c r="IC88" s="443"/>
      <c r="ID88" s="443"/>
      <c r="IE88" s="443"/>
      <c r="IF88" s="443"/>
      <c r="IG88" s="443"/>
      <c r="IH88" s="443"/>
      <c r="II88" s="443"/>
      <c r="IJ88" s="443"/>
      <c r="IK88" s="443"/>
      <c r="IL88" s="443"/>
      <c r="IM88" s="443"/>
      <c r="IN88" s="443"/>
      <c r="IO88" s="443"/>
      <c r="IP88" s="443"/>
      <c r="IQ88" s="443"/>
      <c r="IR88" s="443"/>
      <c r="IS88" s="443"/>
      <c r="IT88" s="443"/>
      <c r="IU88" s="443"/>
      <c r="IV88" s="443"/>
    </row>
    <row r="89" spans="233:256" s="444" customFormat="1" ht="15.75">
      <c r="HY89" s="42"/>
      <c r="HZ89" s="42"/>
      <c r="IA89" s="443"/>
      <c r="IB89" s="443"/>
      <c r="IC89" s="443"/>
      <c r="ID89" s="443"/>
      <c r="IE89" s="443"/>
      <c r="IF89" s="443"/>
      <c r="IG89" s="443"/>
      <c r="IH89" s="443"/>
      <c r="II89" s="443"/>
      <c r="IJ89" s="443"/>
      <c r="IK89" s="443"/>
      <c r="IL89" s="443"/>
      <c r="IM89" s="443"/>
      <c r="IN89" s="443"/>
      <c r="IO89" s="443"/>
      <c r="IP89" s="443"/>
      <c r="IQ89" s="443"/>
      <c r="IR89" s="443"/>
      <c r="IS89" s="443"/>
      <c r="IT89" s="443"/>
      <c r="IU89" s="443"/>
      <c r="IV89" s="443"/>
    </row>
    <row r="90" spans="233:256" s="444" customFormat="1" ht="15.75">
      <c r="HY90" s="42"/>
      <c r="HZ90" s="42"/>
      <c r="IA90" s="443"/>
      <c r="IB90" s="443"/>
      <c r="IC90" s="443"/>
      <c r="ID90" s="443"/>
      <c r="IE90" s="443"/>
      <c r="IF90" s="443"/>
      <c r="IG90" s="443"/>
      <c r="IH90" s="443"/>
      <c r="II90" s="443"/>
      <c r="IJ90" s="443"/>
      <c r="IK90" s="443"/>
      <c r="IL90" s="443"/>
      <c r="IM90" s="443"/>
      <c r="IN90" s="443"/>
      <c r="IO90" s="443"/>
      <c r="IP90" s="443"/>
      <c r="IQ90" s="443"/>
      <c r="IR90" s="443"/>
      <c r="IS90" s="443"/>
      <c r="IT90" s="443"/>
      <c r="IU90" s="443"/>
      <c r="IV90" s="443"/>
    </row>
    <row r="91" spans="233:256" s="444" customFormat="1" ht="15.75">
      <c r="HY91" s="42"/>
      <c r="HZ91" s="42"/>
      <c r="IA91" s="443"/>
      <c r="IB91" s="443"/>
      <c r="IC91" s="443"/>
      <c r="ID91" s="443"/>
      <c r="IE91" s="443"/>
      <c r="IF91" s="443"/>
      <c r="IG91" s="443"/>
      <c r="IH91" s="443"/>
      <c r="II91" s="443"/>
      <c r="IJ91" s="443"/>
      <c r="IK91" s="443"/>
      <c r="IL91" s="443"/>
      <c r="IM91" s="443"/>
      <c r="IN91" s="443"/>
      <c r="IO91" s="443"/>
      <c r="IP91" s="443"/>
      <c r="IQ91" s="443"/>
      <c r="IR91" s="443"/>
      <c r="IS91" s="443"/>
      <c r="IT91" s="443"/>
      <c r="IU91" s="443"/>
      <c r="IV91" s="443"/>
    </row>
    <row r="92" spans="233:256" s="444" customFormat="1" ht="15.75">
      <c r="HY92" s="42"/>
      <c r="HZ92" s="42"/>
      <c r="IA92" s="443"/>
      <c r="IB92" s="443"/>
      <c r="IC92" s="443"/>
      <c r="ID92" s="443"/>
      <c r="IE92" s="443"/>
      <c r="IF92" s="443"/>
      <c r="IG92" s="443"/>
      <c r="IH92" s="443"/>
      <c r="II92" s="443"/>
      <c r="IJ92" s="443"/>
      <c r="IK92" s="443"/>
      <c r="IL92" s="443"/>
      <c r="IM92" s="443"/>
      <c r="IN92" s="443"/>
      <c r="IO92" s="443"/>
      <c r="IP92" s="443"/>
      <c r="IQ92" s="443"/>
      <c r="IR92" s="443"/>
      <c r="IS92" s="443"/>
      <c r="IT92" s="443"/>
      <c r="IU92" s="443"/>
      <c r="IV92" s="443"/>
    </row>
    <row r="93" spans="233:256" s="444" customFormat="1" ht="15.75">
      <c r="HY93" s="42"/>
      <c r="HZ93" s="42"/>
      <c r="IA93" s="443"/>
      <c r="IB93" s="443"/>
      <c r="IC93" s="443"/>
      <c r="ID93" s="443"/>
      <c r="IE93" s="443"/>
      <c r="IF93" s="443"/>
      <c r="IG93" s="443"/>
      <c r="IH93" s="443"/>
      <c r="II93" s="443"/>
      <c r="IJ93" s="443"/>
      <c r="IK93" s="443"/>
      <c r="IL93" s="443"/>
      <c r="IM93" s="443"/>
      <c r="IN93" s="443"/>
      <c r="IO93" s="443"/>
      <c r="IP93" s="443"/>
      <c r="IQ93" s="443"/>
      <c r="IR93" s="443"/>
      <c r="IS93" s="443"/>
      <c r="IT93" s="443"/>
      <c r="IU93" s="443"/>
      <c r="IV93" s="443"/>
    </row>
    <row r="94" spans="233:256" s="444" customFormat="1" ht="15.75">
      <c r="HY94" s="42"/>
      <c r="HZ94" s="42"/>
      <c r="IA94" s="443"/>
      <c r="IB94" s="443"/>
      <c r="IC94" s="443"/>
      <c r="ID94" s="443"/>
      <c r="IE94" s="443"/>
      <c r="IF94" s="443"/>
      <c r="IG94" s="443"/>
      <c r="IH94" s="443"/>
      <c r="II94" s="443"/>
      <c r="IJ94" s="443"/>
      <c r="IK94" s="443"/>
      <c r="IL94" s="443"/>
      <c r="IM94" s="443"/>
      <c r="IN94" s="443"/>
      <c r="IO94" s="443"/>
      <c r="IP94" s="443"/>
      <c r="IQ94" s="443"/>
      <c r="IR94" s="443"/>
      <c r="IS94" s="443"/>
      <c r="IT94" s="443"/>
      <c r="IU94" s="443"/>
      <c r="IV94" s="443"/>
    </row>
    <row r="95" spans="233:256" s="444" customFormat="1" ht="15.75">
      <c r="HY95" s="42"/>
      <c r="HZ95" s="42"/>
      <c r="IA95" s="443"/>
      <c r="IB95" s="443"/>
      <c r="IC95" s="443"/>
      <c r="ID95" s="443"/>
      <c r="IE95" s="443"/>
      <c r="IF95" s="443"/>
      <c r="IG95" s="443"/>
      <c r="IH95" s="443"/>
      <c r="II95" s="443"/>
      <c r="IJ95" s="443"/>
      <c r="IK95" s="443"/>
      <c r="IL95" s="443"/>
      <c r="IM95" s="443"/>
      <c r="IN95" s="443"/>
      <c r="IO95" s="443"/>
      <c r="IP95" s="443"/>
      <c r="IQ95" s="443"/>
      <c r="IR95" s="443"/>
      <c r="IS95" s="443"/>
      <c r="IT95" s="443"/>
      <c r="IU95" s="443"/>
      <c r="IV95" s="443"/>
    </row>
    <row r="96" spans="233:256" s="444" customFormat="1" ht="15.75">
      <c r="HY96" s="42"/>
      <c r="HZ96" s="42"/>
      <c r="IA96" s="443"/>
      <c r="IB96" s="443"/>
      <c r="IC96" s="443"/>
      <c r="ID96" s="443"/>
      <c r="IE96" s="443"/>
      <c r="IF96" s="443"/>
      <c r="IG96" s="443"/>
      <c r="IH96" s="443"/>
      <c r="II96" s="443"/>
      <c r="IJ96" s="443"/>
      <c r="IK96" s="443"/>
      <c r="IL96" s="443"/>
      <c r="IM96" s="443"/>
      <c r="IN96" s="443"/>
      <c r="IO96" s="443"/>
      <c r="IP96" s="443"/>
      <c r="IQ96" s="443"/>
      <c r="IR96" s="443"/>
      <c r="IS96" s="443"/>
      <c r="IT96" s="443"/>
      <c r="IU96" s="443"/>
      <c r="IV96" s="443"/>
    </row>
    <row r="97" spans="233:256" s="444" customFormat="1" ht="15.75">
      <c r="HY97" s="42"/>
      <c r="HZ97" s="42"/>
      <c r="IA97" s="443"/>
      <c r="IB97" s="443"/>
      <c r="IC97" s="443"/>
      <c r="ID97" s="443"/>
      <c r="IE97" s="443"/>
      <c r="IF97" s="443"/>
      <c r="IG97" s="443"/>
      <c r="IH97" s="443"/>
      <c r="II97" s="443"/>
      <c r="IJ97" s="443"/>
      <c r="IK97" s="443"/>
      <c r="IL97" s="443"/>
      <c r="IM97" s="443"/>
      <c r="IN97" s="443"/>
      <c r="IO97" s="443"/>
      <c r="IP97" s="443"/>
      <c r="IQ97" s="443"/>
      <c r="IR97" s="443"/>
      <c r="IS97" s="443"/>
      <c r="IT97" s="443"/>
      <c r="IU97" s="443"/>
      <c r="IV97" s="443"/>
    </row>
    <row r="98" spans="233:256" s="444" customFormat="1" ht="15.75">
      <c r="HY98" s="42"/>
      <c r="HZ98" s="42"/>
      <c r="IA98" s="443"/>
      <c r="IB98" s="443"/>
      <c r="IC98" s="443"/>
      <c r="ID98" s="443"/>
      <c r="IE98" s="443"/>
      <c r="IF98" s="443"/>
      <c r="IG98" s="443"/>
      <c r="IH98" s="443"/>
      <c r="II98" s="443"/>
      <c r="IJ98" s="443"/>
      <c r="IK98" s="443"/>
      <c r="IL98" s="443"/>
      <c r="IM98" s="443"/>
      <c r="IN98" s="443"/>
      <c r="IO98" s="443"/>
      <c r="IP98" s="443"/>
      <c r="IQ98" s="443"/>
      <c r="IR98" s="443"/>
      <c r="IS98" s="443"/>
      <c r="IT98" s="443"/>
      <c r="IU98" s="443"/>
      <c r="IV98" s="443"/>
    </row>
    <row r="99" spans="233:256" s="444" customFormat="1" ht="15.75">
      <c r="HY99" s="42"/>
      <c r="HZ99" s="42"/>
      <c r="IA99" s="443"/>
      <c r="IB99" s="443"/>
      <c r="IC99" s="443"/>
      <c r="ID99" s="443"/>
      <c r="IE99" s="443"/>
      <c r="IF99" s="443"/>
      <c r="IG99" s="443"/>
      <c r="IH99" s="443"/>
      <c r="II99" s="443"/>
      <c r="IJ99" s="443"/>
      <c r="IK99" s="443"/>
      <c r="IL99" s="443"/>
      <c r="IM99" s="443"/>
      <c r="IN99" s="443"/>
      <c r="IO99" s="443"/>
      <c r="IP99" s="443"/>
      <c r="IQ99" s="443"/>
      <c r="IR99" s="443"/>
      <c r="IS99" s="443"/>
      <c r="IT99" s="443"/>
      <c r="IU99" s="443"/>
      <c r="IV99" s="443"/>
    </row>
    <row r="100" spans="233:256" s="444" customFormat="1" ht="15.75">
      <c r="HY100" s="42"/>
      <c r="HZ100" s="42"/>
      <c r="IA100" s="443"/>
      <c r="IB100" s="443"/>
      <c r="IC100" s="443"/>
      <c r="ID100" s="443"/>
      <c r="IE100" s="443"/>
      <c r="IF100" s="443"/>
      <c r="IG100" s="443"/>
      <c r="IH100" s="443"/>
      <c r="II100" s="443"/>
      <c r="IJ100" s="443"/>
      <c r="IK100" s="443"/>
      <c r="IL100" s="443"/>
      <c r="IM100" s="443"/>
      <c r="IN100" s="443"/>
      <c r="IO100" s="443"/>
      <c r="IP100" s="443"/>
      <c r="IQ100" s="443"/>
      <c r="IR100" s="443"/>
      <c r="IS100" s="443"/>
      <c r="IT100" s="443"/>
      <c r="IU100" s="443"/>
      <c r="IV100" s="443"/>
    </row>
    <row r="101" spans="233:256" s="444" customFormat="1" ht="15.75">
      <c r="HY101" s="42"/>
      <c r="HZ101" s="42"/>
      <c r="IA101" s="443"/>
      <c r="IB101" s="443"/>
      <c r="IC101" s="443"/>
      <c r="ID101" s="443"/>
      <c r="IE101" s="443"/>
      <c r="IF101" s="443"/>
      <c r="IG101" s="443"/>
      <c r="IH101" s="443"/>
      <c r="II101" s="443"/>
      <c r="IJ101" s="443"/>
      <c r="IK101" s="443"/>
      <c r="IL101" s="443"/>
      <c r="IM101" s="443"/>
      <c r="IN101" s="443"/>
      <c r="IO101" s="443"/>
      <c r="IP101" s="443"/>
      <c r="IQ101" s="443"/>
      <c r="IR101" s="443"/>
      <c r="IS101" s="443"/>
      <c r="IT101" s="443"/>
      <c r="IU101" s="443"/>
      <c r="IV101" s="443"/>
    </row>
    <row r="102" spans="233:256" s="444" customFormat="1" ht="15.75">
      <c r="HY102" s="42"/>
      <c r="HZ102" s="42"/>
      <c r="IA102" s="443"/>
      <c r="IB102" s="443"/>
      <c r="IC102" s="443"/>
      <c r="ID102" s="443"/>
      <c r="IE102" s="443"/>
      <c r="IF102" s="443"/>
      <c r="IG102" s="443"/>
      <c r="IH102" s="443"/>
      <c r="II102" s="443"/>
      <c r="IJ102" s="443"/>
      <c r="IK102" s="443"/>
      <c r="IL102" s="443"/>
      <c r="IM102" s="443"/>
      <c r="IN102" s="443"/>
      <c r="IO102" s="443"/>
      <c r="IP102" s="443"/>
      <c r="IQ102" s="443"/>
      <c r="IR102" s="443"/>
      <c r="IS102" s="443"/>
      <c r="IT102" s="443"/>
      <c r="IU102" s="443"/>
      <c r="IV102" s="443"/>
    </row>
    <row r="103" spans="233:256" s="444" customFormat="1" ht="15.75">
      <c r="HY103" s="42"/>
      <c r="HZ103" s="42"/>
      <c r="IA103" s="443"/>
      <c r="IB103" s="443"/>
      <c r="IC103" s="443"/>
      <c r="ID103" s="443"/>
      <c r="IE103" s="443"/>
      <c r="IF103" s="443"/>
      <c r="IG103" s="443"/>
      <c r="IH103" s="443"/>
      <c r="II103" s="443"/>
      <c r="IJ103" s="443"/>
      <c r="IK103" s="443"/>
      <c r="IL103" s="443"/>
      <c r="IM103" s="443"/>
      <c r="IN103" s="443"/>
      <c r="IO103" s="443"/>
      <c r="IP103" s="443"/>
      <c r="IQ103" s="443"/>
      <c r="IR103" s="443"/>
      <c r="IS103" s="443"/>
      <c r="IT103" s="443"/>
      <c r="IU103" s="443"/>
      <c r="IV103" s="443"/>
    </row>
    <row r="104" spans="233:256" s="444" customFormat="1" ht="15.75">
      <c r="HY104" s="42"/>
      <c r="HZ104" s="42"/>
      <c r="IA104" s="443"/>
      <c r="IB104" s="443"/>
      <c r="IC104" s="443"/>
      <c r="ID104" s="443"/>
      <c r="IE104" s="443"/>
      <c r="IF104" s="443"/>
      <c r="IG104" s="443"/>
      <c r="IH104" s="443"/>
      <c r="II104" s="443"/>
      <c r="IJ104" s="443"/>
      <c r="IK104" s="443"/>
      <c r="IL104" s="443"/>
      <c r="IM104" s="443"/>
      <c r="IN104" s="443"/>
      <c r="IO104" s="443"/>
      <c r="IP104" s="443"/>
      <c r="IQ104" s="443"/>
      <c r="IR104" s="443"/>
      <c r="IS104" s="443"/>
      <c r="IT104" s="443"/>
      <c r="IU104" s="443"/>
      <c r="IV104" s="443"/>
    </row>
    <row r="105" spans="233:256" s="444" customFormat="1" ht="15.75">
      <c r="HY105" s="42"/>
      <c r="HZ105" s="42"/>
      <c r="IA105" s="443"/>
      <c r="IB105" s="443"/>
      <c r="IC105" s="443"/>
      <c r="ID105" s="443"/>
      <c r="IE105" s="443"/>
      <c r="IF105" s="443"/>
      <c r="IG105" s="443"/>
      <c r="IH105" s="443"/>
      <c r="II105" s="443"/>
      <c r="IJ105" s="443"/>
      <c r="IK105" s="443"/>
      <c r="IL105" s="443"/>
      <c r="IM105" s="443"/>
      <c r="IN105" s="443"/>
      <c r="IO105" s="443"/>
      <c r="IP105" s="443"/>
      <c r="IQ105" s="443"/>
      <c r="IR105" s="443"/>
      <c r="IS105" s="443"/>
      <c r="IT105" s="443"/>
      <c r="IU105" s="443"/>
      <c r="IV105" s="443"/>
    </row>
    <row r="106" spans="233:256" s="444" customFormat="1" ht="15.75">
      <c r="HY106" s="42"/>
      <c r="HZ106" s="42"/>
      <c r="IA106" s="443"/>
      <c r="IB106" s="443"/>
      <c r="IC106" s="443"/>
      <c r="ID106" s="443"/>
      <c r="IE106" s="443"/>
      <c r="IF106" s="443"/>
      <c r="IG106" s="443"/>
      <c r="IH106" s="443"/>
      <c r="II106" s="443"/>
      <c r="IJ106" s="443"/>
      <c r="IK106" s="443"/>
      <c r="IL106" s="443"/>
      <c r="IM106" s="443"/>
      <c r="IN106" s="443"/>
      <c r="IO106" s="443"/>
      <c r="IP106" s="443"/>
      <c r="IQ106" s="443"/>
      <c r="IR106" s="443"/>
      <c r="IS106" s="443"/>
      <c r="IT106" s="443"/>
      <c r="IU106" s="443"/>
      <c r="IV106" s="443"/>
    </row>
    <row r="107" spans="233:256" s="444" customFormat="1" ht="15.75">
      <c r="HY107" s="42"/>
      <c r="HZ107" s="42"/>
      <c r="IA107" s="443"/>
      <c r="IB107" s="443"/>
      <c r="IC107" s="443"/>
      <c r="ID107" s="443"/>
      <c r="IE107" s="443"/>
      <c r="IF107" s="443"/>
      <c r="IG107" s="443"/>
      <c r="IH107" s="443"/>
      <c r="II107" s="443"/>
      <c r="IJ107" s="443"/>
      <c r="IK107" s="443"/>
      <c r="IL107" s="443"/>
      <c r="IM107" s="443"/>
      <c r="IN107" s="443"/>
      <c r="IO107" s="443"/>
      <c r="IP107" s="443"/>
      <c r="IQ107" s="443"/>
      <c r="IR107" s="443"/>
      <c r="IS107" s="443"/>
      <c r="IT107" s="443"/>
      <c r="IU107" s="443"/>
      <c r="IV107" s="443"/>
    </row>
    <row r="108" spans="233:256" s="444" customFormat="1" ht="15.75">
      <c r="HY108" s="42"/>
      <c r="HZ108" s="42"/>
      <c r="IA108" s="443"/>
      <c r="IB108" s="443"/>
      <c r="IC108" s="443"/>
      <c r="ID108" s="443"/>
      <c r="IE108" s="443"/>
      <c r="IF108" s="443"/>
      <c r="IG108" s="443"/>
      <c r="IH108" s="443"/>
      <c r="II108" s="443"/>
      <c r="IJ108" s="443"/>
      <c r="IK108" s="443"/>
      <c r="IL108" s="443"/>
      <c r="IM108" s="443"/>
      <c r="IN108" s="443"/>
      <c r="IO108" s="443"/>
      <c r="IP108" s="443"/>
      <c r="IQ108" s="443"/>
      <c r="IR108" s="443"/>
      <c r="IS108" s="443"/>
      <c r="IT108" s="443"/>
      <c r="IU108" s="443"/>
      <c r="IV108" s="443"/>
    </row>
    <row r="109" spans="233:256" s="444" customFormat="1" ht="15.75">
      <c r="HY109" s="42"/>
      <c r="HZ109" s="42"/>
      <c r="IA109" s="443"/>
      <c r="IB109" s="443"/>
      <c r="IC109" s="443"/>
      <c r="ID109" s="443"/>
      <c r="IE109" s="443"/>
      <c r="IF109" s="443"/>
      <c r="IG109" s="443"/>
      <c r="IH109" s="443"/>
      <c r="II109" s="443"/>
      <c r="IJ109" s="443"/>
      <c r="IK109" s="443"/>
      <c r="IL109" s="443"/>
      <c r="IM109" s="443"/>
      <c r="IN109" s="443"/>
      <c r="IO109" s="443"/>
      <c r="IP109" s="443"/>
      <c r="IQ109" s="443"/>
      <c r="IR109" s="443"/>
      <c r="IS109" s="443"/>
      <c r="IT109" s="443"/>
      <c r="IU109" s="443"/>
      <c r="IV109" s="443"/>
    </row>
    <row r="110" spans="233:256" s="444" customFormat="1" ht="15.75">
      <c r="HY110" s="42"/>
      <c r="HZ110" s="42"/>
      <c r="IA110" s="443"/>
      <c r="IB110" s="443"/>
      <c r="IC110" s="443"/>
      <c r="ID110" s="443"/>
      <c r="IE110" s="443"/>
      <c r="IF110" s="443"/>
      <c r="IG110" s="443"/>
      <c r="IH110" s="443"/>
      <c r="II110" s="443"/>
      <c r="IJ110" s="443"/>
      <c r="IK110" s="443"/>
      <c r="IL110" s="443"/>
      <c r="IM110" s="443"/>
      <c r="IN110" s="443"/>
      <c r="IO110" s="443"/>
      <c r="IP110" s="443"/>
      <c r="IQ110" s="443"/>
      <c r="IR110" s="443"/>
      <c r="IS110" s="443"/>
      <c r="IT110" s="443"/>
      <c r="IU110" s="443"/>
      <c r="IV110" s="443"/>
    </row>
    <row r="111" spans="233:256" s="444" customFormat="1" ht="15.75">
      <c r="HY111" s="42"/>
      <c r="HZ111" s="42"/>
      <c r="IA111" s="443"/>
      <c r="IB111" s="443"/>
      <c r="IC111" s="443"/>
      <c r="ID111" s="443"/>
      <c r="IE111" s="443"/>
      <c r="IF111" s="443"/>
      <c r="IG111" s="443"/>
      <c r="IH111" s="443"/>
      <c r="II111" s="443"/>
      <c r="IJ111" s="443"/>
      <c r="IK111" s="443"/>
      <c r="IL111" s="443"/>
      <c r="IM111" s="443"/>
      <c r="IN111" s="443"/>
      <c r="IO111" s="443"/>
      <c r="IP111" s="443"/>
      <c r="IQ111" s="443"/>
      <c r="IR111" s="443"/>
      <c r="IS111" s="443"/>
      <c r="IT111" s="443"/>
      <c r="IU111" s="443"/>
      <c r="IV111" s="443"/>
    </row>
    <row r="112" spans="233:256" s="444" customFormat="1" ht="15.75">
      <c r="HY112" s="42"/>
      <c r="HZ112" s="42"/>
      <c r="IA112" s="443"/>
      <c r="IB112" s="443"/>
      <c r="IC112" s="443"/>
      <c r="ID112" s="443"/>
      <c r="IE112" s="443"/>
      <c r="IF112" s="443"/>
      <c r="IG112" s="443"/>
      <c r="IH112" s="443"/>
      <c r="II112" s="443"/>
      <c r="IJ112" s="443"/>
      <c r="IK112" s="443"/>
      <c r="IL112" s="443"/>
      <c r="IM112" s="443"/>
      <c r="IN112" s="443"/>
      <c r="IO112" s="443"/>
      <c r="IP112" s="443"/>
      <c r="IQ112" s="443"/>
      <c r="IR112" s="443"/>
      <c r="IS112" s="443"/>
      <c r="IT112" s="443"/>
      <c r="IU112" s="443"/>
      <c r="IV112" s="443"/>
    </row>
    <row r="113" spans="233:256" s="444" customFormat="1" ht="15.75">
      <c r="HY113" s="42"/>
      <c r="HZ113" s="42"/>
      <c r="IA113" s="443"/>
      <c r="IB113" s="443"/>
      <c r="IC113" s="443"/>
      <c r="ID113" s="443"/>
      <c r="IE113" s="443"/>
      <c r="IF113" s="443"/>
      <c r="IG113" s="443"/>
      <c r="IH113" s="443"/>
      <c r="II113" s="443"/>
      <c r="IJ113" s="443"/>
      <c r="IK113" s="443"/>
      <c r="IL113" s="443"/>
      <c r="IM113" s="443"/>
      <c r="IN113" s="443"/>
      <c r="IO113" s="443"/>
      <c r="IP113" s="443"/>
      <c r="IQ113" s="443"/>
      <c r="IR113" s="443"/>
      <c r="IS113" s="443"/>
      <c r="IT113" s="443"/>
      <c r="IU113" s="443"/>
      <c r="IV113" s="443"/>
    </row>
    <row r="114" spans="233:256" s="444" customFormat="1" ht="15.75">
      <c r="HY114" s="42"/>
      <c r="HZ114" s="42"/>
      <c r="IA114" s="443"/>
      <c r="IB114" s="443"/>
      <c r="IC114" s="443"/>
      <c r="ID114" s="443"/>
      <c r="IE114" s="443"/>
      <c r="IF114" s="443"/>
      <c r="IG114" s="443"/>
      <c r="IH114" s="443"/>
      <c r="II114" s="443"/>
      <c r="IJ114" s="443"/>
      <c r="IK114" s="443"/>
      <c r="IL114" s="443"/>
      <c r="IM114" s="443"/>
      <c r="IN114" s="443"/>
      <c r="IO114" s="443"/>
      <c r="IP114" s="443"/>
      <c r="IQ114" s="443"/>
      <c r="IR114" s="443"/>
      <c r="IS114" s="443"/>
      <c r="IT114" s="443"/>
      <c r="IU114" s="443"/>
      <c r="IV114" s="443"/>
    </row>
    <row r="115" spans="233:256" s="444" customFormat="1" ht="15.75">
      <c r="HY115" s="42"/>
      <c r="HZ115" s="42"/>
      <c r="IA115" s="443"/>
      <c r="IB115" s="443"/>
      <c r="IC115" s="443"/>
      <c r="ID115" s="443"/>
      <c r="IE115" s="443"/>
      <c r="IF115" s="443"/>
      <c r="IG115" s="443"/>
      <c r="IH115" s="443"/>
      <c r="II115" s="443"/>
      <c r="IJ115" s="443"/>
      <c r="IK115" s="443"/>
      <c r="IL115" s="443"/>
      <c r="IM115" s="443"/>
      <c r="IN115" s="443"/>
      <c r="IO115" s="443"/>
      <c r="IP115" s="443"/>
      <c r="IQ115" s="443"/>
      <c r="IR115" s="443"/>
      <c r="IS115" s="443"/>
      <c r="IT115" s="443"/>
      <c r="IU115" s="443"/>
      <c r="IV115" s="443"/>
    </row>
    <row r="116" spans="233:256" s="444" customFormat="1" ht="15.75">
      <c r="HY116" s="42"/>
      <c r="HZ116" s="42"/>
      <c r="IA116" s="443"/>
      <c r="IB116" s="443"/>
      <c r="IC116" s="443"/>
      <c r="ID116" s="443"/>
      <c r="IE116" s="443"/>
      <c r="IF116" s="443"/>
      <c r="IG116" s="443"/>
      <c r="IH116" s="443"/>
      <c r="II116" s="443"/>
      <c r="IJ116" s="443"/>
      <c r="IK116" s="443"/>
      <c r="IL116" s="443"/>
      <c r="IM116" s="443"/>
      <c r="IN116" s="443"/>
      <c r="IO116" s="443"/>
      <c r="IP116" s="443"/>
      <c r="IQ116" s="443"/>
      <c r="IR116" s="443"/>
      <c r="IS116" s="443"/>
      <c r="IT116" s="443"/>
      <c r="IU116" s="443"/>
      <c r="IV116" s="443"/>
    </row>
    <row r="117" spans="233:256" s="444" customFormat="1" ht="15.75">
      <c r="HY117" s="42"/>
      <c r="HZ117" s="42"/>
      <c r="IA117" s="443"/>
      <c r="IB117" s="443"/>
      <c r="IC117" s="443"/>
      <c r="ID117" s="443"/>
      <c r="IE117" s="443"/>
      <c r="IF117" s="443"/>
      <c r="IG117" s="443"/>
      <c r="IH117" s="443"/>
      <c r="II117" s="443"/>
      <c r="IJ117" s="443"/>
      <c r="IK117" s="443"/>
      <c r="IL117" s="443"/>
      <c r="IM117" s="443"/>
      <c r="IN117" s="443"/>
      <c r="IO117" s="443"/>
      <c r="IP117" s="443"/>
      <c r="IQ117" s="443"/>
      <c r="IR117" s="443"/>
      <c r="IS117" s="443"/>
      <c r="IT117" s="443"/>
      <c r="IU117" s="443"/>
      <c r="IV117" s="443"/>
    </row>
    <row r="118" spans="233:256" s="444" customFormat="1" ht="15.75">
      <c r="HY118" s="42"/>
      <c r="HZ118" s="42"/>
      <c r="IA118" s="443"/>
      <c r="IB118" s="443"/>
      <c r="IC118" s="443"/>
      <c r="ID118" s="443"/>
      <c r="IE118" s="443"/>
      <c r="IF118" s="443"/>
      <c r="IG118" s="443"/>
      <c r="IH118" s="443"/>
      <c r="II118" s="443"/>
      <c r="IJ118" s="443"/>
      <c r="IK118" s="443"/>
      <c r="IL118" s="443"/>
      <c r="IM118" s="443"/>
      <c r="IN118" s="443"/>
      <c r="IO118" s="443"/>
      <c r="IP118" s="443"/>
      <c r="IQ118" s="443"/>
      <c r="IR118" s="443"/>
      <c r="IS118" s="443"/>
      <c r="IT118" s="443"/>
      <c r="IU118" s="443"/>
      <c r="IV118" s="443"/>
    </row>
    <row r="119" spans="233:256" s="444" customFormat="1" ht="15.75">
      <c r="HY119" s="42"/>
      <c r="HZ119" s="42"/>
      <c r="IA119" s="443"/>
      <c r="IB119" s="443"/>
      <c r="IC119" s="443"/>
      <c r="ID119" s="443"/>
      <c r="IE119" s="443"/>
      <c r="IF119" s="443"/>
      <c r="IG119" s="443"/>
      <c r="IH119" s="443"/>
      <c r="II119" s="443"/>
      <c r="IJ119" s="443"/>
      <c r="IK119" s="443"/>
      <c r="IL119" s="443"/>
      <c r="IM119" s="443"/>
      <c r="IN119" s="443"/>
      <c r="IO119" s="443"/>
      <c r="IP119" s="443"/>
      <c r="IQ119" s="443"/>
      <c r="IR119" s="443"/>
      <c r="IS119" s="443"/>
      <c r="IT119" s="443"/>
      <c r="IU119" s="443"/>
      <c r="IV119" s="443"/>
    </row>
    <row r="120" spans="233:256" s="444" customFormat="1" ht="15.75">
      <c r="HY120" s="42"/>
      <c r="HZ120" s="42"/>
      <c r="IA120" s="443"/>
      <c r="IB120" s="443"/>
      <c r="IC120" s="443"/>
      <c r="ID120" s="443"/>
      <c r="IE120" s="443"/>
      <c r="IF120" s="443"/>
      <c r="IG120" s="443"/>
      <c r="IH120" s="443"/>
      <c r="II120" s="443"/>
      <c r="IJ120" s="443"/>
      <c r="IK120" s="443"/>
      <c r="IL120" s="443"/>
      <c r="IM120" s="443"/>
      <c r="IN120" s="443"/>
      <c r="IO120" s="443"/>
      <c r="IP120" s="443"/>
      <c r="IQ120" s="443"/>
      <c r="IR120" s="443"/>
      <c r="IS120" s="443"/>
      <c r="IT120" s="443"/>
      <c r="IU120" s="443"/>
      <c r="IV120" s="443"/>
    </row>
    <row r="121" spans="233:256" s="444" customFormat="1" ht="15.75">
      <c r="HY121" s="42"/>
      <c r="HZ121" s="42"/>
      <c r="IA121" s="443"/>
      <c r="IB121" s="443"/>
      <c r="IC121" s="443"/>
      <c r="ID121" s="443"/>
      <c r="IE121" s="443"/>
      <c r="IF121" s="443"/>
      <c r="IG121" s="443"/>
      <c r="IH121" s="443"/>
      <c r="II121" s="443"/>
      <c r="IJ121" s="443"/>
      <c r="IK121" s="443"/>
      <c r="IL121" s="443"/>
      <c r="IM121" s="443"/>
      <c r="IN121" s="443"/>
      <c r="IO121" s="443"/>
      <c r="IP121" s="443"/>
      <c r="IQ121" s="443"/>
      <c r="IR121" s="443"/>
      <c r="IS121" s="443"/>
      <c r="IT121" s="443"/>
      <c r="IU121" s="443"/>
      <c r="IV121" s="443"/>
    </row>
    <row r="122" spans="233:256" s="444" customFormat="1" ht="15.75">
      <c r="HY122" s="42"/>
      <c r="HZ122" s="42"/>
      <c r="IA122" s="443"/>
      <c r="IB122" s="443"/>
      <c r="IC122" s="443"/>
      <c r="ID122" s="443"/>
      <c r="IE122" s="443"/>
      <c r="IF122" s="443"/>
      <c r="IG122" s="443"/>
      <c r="IH122" s="443"/>
      <c r="II122" s="443"/>
      <c r="IJ122" s="443"/>
      <c r="IK122" s="443"/>
      <c r="IL122" s="443"/>
      <c r="IM122" s="443"/>
      <c r="IN122" s="443"/>
      <c r="IO122" s="443"/>
      <c r="IP122" s="443"/>
      <c r="IQ122" s="443"/>
      <c r="IR122" s="443"/>
      <c r="IS122" s="443"/>
      <c r="IT122" s="443"/>
      <c r="IU122" s="443"/>
      <c r="IV122" s="443"/>
    </row>
    <row r="123" spans="233:256" s="444" customFormat="1" ht="15.75">
      <c r="HY123" s="42"/>
      <c r="HZ123" s="42"/>
      <c r="IA123" s="443"/>
      <c r="IB123" s="443"/>
      <c r="IC123" s="443"/>
      <c r="ID123" s="443"/>
      <c r="IE123" s="443"/>
      <c r="IF123" s="443"/>
      <c r="IG123" s="443"/>
      <c r="IH123" s="443"/>
      <c r="II123" s="443"/>
      <c r="IJ123" s="443"/>
      <c r="IK123" s="443"/>
      <c r="IL123" s="443"/>
      <c r="IM123" s="443"/>
      <c r="IN123" s="443"/>
      <c r="IO123" s="443"/>
      <c r="IP123" s="443"/>
      <c r="IQ123" s="443"/>
      <c r="IR123" s="443"/>
      <c r="IS123" s="443"/>
      <c r="IT123" s="443"/>
      <c r="IU123" s="443"/>
      <c r="IV123" s="443"/>
    </row>
    <row r="124" spans="233:256" s="444" customFormat="1" ht="15.75">
      <c r="HY124" s="42"/>
      <c r="HZ124" s="42"/>
      <c r="IA124" s="443"/>
      <c r="IB124" s="443"/>
      <c r="IC124" s="443"/>
      <c r="ID124" s="443"/>
      <c r="IE124" s="443"/>
      <c r="IF124" s="443"/>
      <c r="IG124" s="443"/>
      <c r="IH124" s="443"/>
      <c r="II124" s="443"/>
      <c r="IJ124" s="443"/>
      <c r="IK124" s="443"/>
      <c r="IL124" s="443"/>
      <c r="IM124" s="443"/>
      <c r="IN124" s="443"/>
      <c r="IO124" s="443"/>
      <c r="IP124" s="443"/>
      <c r="IQ124" s="443"/>
      <c r="IR124" s="443"/>
      <c r="IS124" s="443"/>
      <c r="IT124" s="443"/>
      <c r="IU124" s="443"/>
      <c r="IV124" s="443"/>
    </row>
    <row r="125" spans="233:256" s="444" customFormat="1" ht="15.75">
      <c r="HY125" s="42"/>
      <c r="HZ125" s="42"/>
      <c r="IA125" s="443"/>
      <c r="IB125" s="443"/>
      <c r="IC125" s="443"/>
      <c r="ID125" s="443"/>
      <c r="IE125" s="443"/>
      <c r="IF125" s="443"/>
      <c r="IG125" s="443"/>
      <c r="IH125" s="443"/>
      <c r="II125" s="443"/>
      <c r="IJ125" s="443"/>
      <c r="IK125" s="443"/>
      <c r="IL125" s="443"/>
      <c r="IM125" s="443"/>
      <c r="IN125" s="443"/>
      <c r="IO125" s="443"/>
      <c r="IP125" s="443"/>
      <c r="IQ125" s="443"/>
      <c r="IR125" s="443"/>
      <c r="IS125" s="443"/>
      <c r="IT125" s="443"/>
      <c r="IU125" s="443"/>
      <c r="IV125" s="443"/>
    </row>
    <row r="126" spans="233:256" s="444" customFormat="1" ht="15.75">
      <c r="HY126" s="42"/>
      <c r="HZ126" s="42"/>
      <c r="IA126" s="443"/>
      <c r="IB126" s="443"/>
      <c r="IC126" s="443"/>
      <c r="ID126" s="443"/>
      <c r="IE126" s="443"/>
      <c r="IF126" s="443"/>
      <c r="IG126" s="443"/>
      <c r="IH126" s="443"/>
      <c r="II126" s="443"/>
      <c r="IJ126" s="443"/>
      <c r="IK126" s="443"/>
      <c r="IL126" s="443"/>
      <c r="IM126" s="443"/>
      <c r="IN126" s="443"/>
      <c r="IO126" s="443"/>
      <c r="IP126" s="443"/>
      <c r="IQ126" s="443"/>
      <c r="IR126" s="443"/>
      <c r="IS126" s="443"/>
      <c r="IT126" s="443"/>
      <c r="IU126" s="443"/>
      <c r="IV126" s="443"/>
    </row>
    <row r="127" spans="233:256" s="444" customFormat="1" ht="15.75">
      <c r="HY127" s="42"/>
      <c r="HZ127" s="42"/>
      <c r="IA127" s="443"/>
      <c r="IB127" s="443"/>
      <c r="IC127" s="443"/>
      <c r="ID127" s="443"/>
      <c r="IE127" s="443"/>
      <c r="IF127" s="443"/>
      <c r="IG127" s="443"/>
      <c r="IH127" s="443"/>
      <c r="II127" s="443"/>
      <c r="IJ127" s="443"/>
      <c r="IK127" s="443"/>
      <c r="IL127" s="443"/>
      <c r="IM127" s="443"/>
      <c r="IN127" s="443"/>
      <c r="IO127" s="443"/>
      <c r="IP127" s="443"/>
      <c r="IQ127" s="443"/>
      <c r="IR127" s="443"/>
      <c r="IS127" s="443"/>
      <c r="IT127" s="443"/>
      <c r="IU127" s="443"/>
      <c r="IV127" s="443"/>
    </row>
    <row r="128" spans="233:256" s="444" customFormat="1" ht="15.75">
      <c r="HY128" s="42"/>
      <c r="HZ128" s="42"/>
      <c r="IA128" s="443"/>
      <c r="IB128" s="443"/>
      <c r="IC128" s="443"/>
      <c r="ID128" s="443"/>
      <c r="IE128" s="443"/>
      <c r="IF128" s="443"/>
      <c r="IG128" s="443"/>
      <c r="IH128" s="443"/>
      <c r="II128" s="443"/>
      <c r="IJ128" s="443"/>
      <c r="IK128" s="443"/>
      <c r="IL128" s="443"/>
      <c r="IM128" s="443"/>
      <c r="IN128" s="443"/>
      <c r="IO128" s="443"/>
      <c r="IP128" s="443"/>
      <c r="IQ128" s="443"/>
      <c r="IR128" s="443"/>
      <c r="IS128" s="443"/>
      <c r="IT128" s="443"/>
      <c r="IU128" s="443"/>
      <c r="IV128" s="443"/>
    </row>
    <row r="129" spans="233:256" s="444" customFormat="1" ht="15.75">
      <c r="HY129" s="42"/>
      <c r="HZ129" s="42"/>
      <c r="IA129" s="443"/>
      <c r="IB129" s="443"/>
      <c r="IC129" s="443"/>
      <c r="ID129" s="443"/>
      <c r="IE129" s="443"/>
      <c r="IF129" s="443"/>
      <c r="IG129" s="443"/>
      <c r="IH129" s="443"/>
      <c r="II129" s="443"/>
      <c r="IJ129" s="443"/>
      <c r="IK129" s="443"/>
      <c r="IL129" s="443"/>
      <c r="IM129" s="443"/>
      <c r="IN129" s="443"/>
      <c r="IO129" s="443"/>
      <c r="IP129" s="443"/>
      <c r="IQ129" s="443"/>
      <c r="IR129" s="443"/>
      <c r="IS129" s="443"/>
      <c r="IT129" s="443"/>
      <c r="IU129" s="443"/>
      <c r="IV129" s="443"/>
    </row>
    <row r="130" spans="233:256" s="444" customFormat="1" ht="15.75">
      <c r="HY130" s="42"/>
      <c r="HZ130" s="42"/>
      <c r="IA130" s="443"/>
      <c r="IB130" s="443"/>
      <c r="IC130" s="443"/>
      <c r="ID130" s="443"/>
      <c r="IE130" s="443"/>
      <c r="IF130" s="443"/>
      <c r="IG130" s="443"/>
      <c r="IH130" s="443"/>
      <c r="II130" s="443"/>
      <c r="IJ130" s="443"/>
      <c r="IK130" s="443"/>
      <c r="IL130" s="443"/>
      <c r="IM130" s="443"/>
      <c r="IN130" s="443"/>
      <c r="IO130" s="443"/>
      <c r="IP130" s="443"/>
      <c r="IQ130" s="443"/>
      <c r="IR130" s="443"/>
      <c r="IS130" s="443"/>
      <c r="IT130" s="443"/>
      <c r="IU130" s="443"/>
      <c r="IV130" s="443"/>
    </row>
    <row r="131" spans="233:256" s="444" customFormat="1" ht="15.75">
      <c r="HY131" s="42"/>
      <c r="HZ131" s="42"/>
      <c r="IA131" s="443"/>
      <c r="IB131" s="443"/>
      <c r="IC131" s="443"/>
      <c r="ID131" s="443"/>
      <c r="IE131" s="443"/>
      <c r="IF131" s="443"/>
      <c r="IG131" s="443"/>
      <c r="IH131" s="443"/>
      <c r="II131" s="443"/>
      <c r="IJ131" s="443"/>
      <c r="IK131" s="443"/>
      <c r="IL131" s="443"/>
      <c r="IM131" s="443"/>
      <c r="IN131" s="443"/>
      <c r="IO131" s="443"/>
      <c r="IP131" s="443"/>
      <c r="IQ131" s="443"/>
      <c r="IR131" s="443"/>
      <c r="IS131" s="443"/>
      <c r="IT131" s="443"/>
      <c r="IU131" s="443"/>
      <c r="IV131" s="443"/>
    </row>
    <row r="132" spans="233:256" s="444" customFormat="1" ht="15.75">
      <c r="HY132" s="42"/>
      <c r="HZ132" s="42"/>
      <c r="IA132" s="443"/>
      <c r="IB132" s="443"/>
      <c r="IC132" s="443"/>
      <c r="ID132" s="443"/>
      <c r="IE132" s="443"/>
      <c r="IF132" s="443"/>
      <c r="IG132" s="443"/>
      <c r="IH132" s="443"/>
      <c r="II132" s="443"/>
      <c r="IJ132" s="443"/>
      <c r="IK132" s="443"/>
      <c r="IL132" s="443"/>
      <c r="IM132" s="443"/>
      <c r="IN132" s="443"/>
      <c r="IO132" s="443"/>
      <c r="IP132" s="443"/>
      <c r="IQ132" s="443"/>
      <c r="IR132" s="443"/>
      <c r="IS132" s="443"/>
      <c r="IT132" s="443"/>
      <c r="IU132" s="443"/>
      <c r="IV132" s="443"/>
    </row>
    <row r="133" spans="233:256" s="444" customFormat="1" ht="15.75">
      <c r="HY133" s="42"/>
      <c r="HZ133" s="42"/>
      <c r="IA133" s="443"/>
      <c r="IB133" s="443"/>
      <c r="IC133" s="443"/>
      <c r="ID133" s="443"/>
      <c r="IE133" s="443"/>
      <c r="IF133" s="443"/>
      <c r="IG133" s="443"/>
      <c r="IH133" s="443"/>
      <c r="II133" s="443"/>
      <c r="IJ133" s="443"/>
      <c r="IK133" s="443"/>
      <c r="IL133" s="443"/>
      <c r="IM133" s="443"/>
      <c r="IN133" s="443"/>
      <c r="IO133" s="443"/>
      <c r="IP133" s="443"/>
      <c r="IQ133" s="443"/>
      <c r="IR133" s="443"/>
      <c r="IS133" s="443"/>
      <c r="IT133" s="443"/>
      <c r="IU133" s="443"/>
      <c r="IV133" s="443"/>
    </row>
    <row r="134" spans="233:256" s="444" customFormat="1" ht="15.75">
      <c r="HY134" s="42"/>
      <c r="HZ134" s="42"/>
      <c r="IA134" s="443"/>
      <c r="IB134" s="443"/>
      <c r="IC134" s="443"/>
      <c r="ID134" s="443"/>
      <c r="IE134" s="443"/>
      <c r="IF134" s="443"/>
      <c r="IG134" s="443"/>
      <c r="IH134" s="443"/>
      <c r="II134" s="443"/>
      <c r="IJ134" s="443"/>
      <c r="IK134" s="443"/>
      <c r="IL134" s="443"/>
      <c r="IM134" s="443"/>
      <c r="IN134" s="443"/>
      <c r="IO134" s="443"/>
      <c r="IP134" s="443"/>
      <c r="IQ134" s="443"/>
      <c r="IR134" s="443"/>
      <c r="IS134" s="443"/>
      <c r="IT134" s="443"/>
      <c r="IU134" s="443"/>
      <c r="IV134" s="443"/>
    </row>
    <row r="135" spans="233:256" s="444" customFormat="1" ht="15.75">
      <c r="HY135" s="42"/>
      <c r="HZ135" s="42"/>
      <c r="IA135" s="443"/>
      <c r="IB135" s="443"/>
      <c r="IC135" s="443"/>
      <c r="ID135" s="443"/>
      <c r="IE135" s="443"/>
      <c r="IF135" s="443"/>
      <c r="IG135" s="443"/>
      <c r="IH135" s="443"/>
      <c r="II135" s="443"/>
      <c r="IJ135" s="443"/>
      <c r="IK135" s="443"/>
      <c r="IL135" s="443"/>
      <c r="IM135" s="443"/>
      <c r="IN135" s="443"/>
      <c r="IO135" s="443"/>
      <c r="IP135" s="443"/>
      <c r="IQ135" s="443"/>
      <c r="IR135" s="443"/>
      <c r="IS135" s="443"/>
      <c r="IT135" s="443"/>
      <c r="IU135" s="443"/>
      <c r="IV135" s="443"/>
    </row>
    <row r="136" spans="233:256" s="444" customFormat="1" ht="15.75">
      <c r="HY136" s="42"/>
      <c r="HZ136" s="42"/>
      <c r="IA136" s="443"/>
      <c r="IB136" s="443"/>
      <c r="IC136" s="443"/>
      <c r="ID136" s="443"/>
      <c r="IE136" s="443"/>
      <c r="IF136" s="443"/>
      <c r="IG136" s="443"/>
      <c r="IH136" s="443"/>
      <c r="II136" s="443"/>
      <c r="IJ136" s="443"/>
      <c r="IK136" s="443"/>
      <c r="IL136" s="443"/>
      <c r="IM136" s="443"/>
      <c r="IN136" s="443"/>
      <c r="IO136" s="443"/>
      <c r="IP136" s="443"/>
      <c r="IQ136" s="443"/>
      <c r="IR136" s="443"/>
      <c r="IS136" s="443"/>
      <c r="IT136" s="443"/>
      <c r="IU136" s="443"/>
      <c r="IV136" s="443"/>
    </row>
    <row r="137" spans="233:256" s="444" customFormat="1" ht="15.75">
      <c r="HY137" s="42"/>
      <c r="HZ137" s="42"/>
      <c r="IA137" s="443"/>
      <c r="IB137" s="443"/>
      <c r="IC137" s="443"/>
      <c r="ID137" s="443"/>
      <c r="IE137" s="443"/>
      <c r="IF137" s="443"/>
      <c r="IG137" s="443"/>
      <c r="IH137" s="443"/>
      <c r="II137" s="443"/>
      <c r="IJ137" s="443"/>
      <c r="IK137" s="443"/>
      <c r="IL137" s="443"/>
      <c r="IM137" s="443"/>
      <c r="IN137" s="443"/>
      <c r="IO137" s="443"/>
      <c r="IP137" s="443"/>
      <c r="IQ137" s="443"/>
      <c r="IR137" s="443"/>
      <c r="IS137" s="443"/>
      <c r="IT137" s="443"/>
      <c r="IU137" s="443"/>
      <c r="IV137" s="443"/>
    </row>
    <row r="138" spans="233:256" s="444" customFormat="1" ht="15.75">
      <c r="HY138" s="42"/>
      <c r="HZ138" s="42"/>
      <c r="IA138" s="443"/>
      <c r="IB138" s="443"/>
      <c r="IC138" s="443"/>
      <c r="ID138" s="443"/>
      <c r="IE138" s="443"/>
      <c r="IF138" s="443"/>
      <c r="IG138" s="443"/>
      <c r="IH138" s="443"/>
      <c r="II138" s="443"/>
      <c r="IJ138" s="443"/>
      <c r="IK138" s="443"/>
      <c r="IL138" s="443"/>
      <c r="IM138" s="443"/>
      <c r="IN138" s="443"/>
      <c r="IO138" s="443"/>
      <c r="IP138" s="443"/>
      <c r="IQ138" s="443"/>
      <c r="IR138" s="443"/>
      <c r="IS138" s="443"/>
      <c r="IT138" s="443"/>
      <c r="IU138" s="443"/>
      <c r="IV138" s="443"/>
    </row>
    <row r="139" spans="233:256" s="444" customFormat="1" ht="15.75">
      <c r="HY139" s="42"/>
      <c r="HZ139" s="42"/>
      <c r="IA139" s="443"/>
      <c r="IB139" s="443"/>
      <c r="IC139" s="443"/>
      <c r="ID139" s="443"/>
      <c r="IE139" s="443"/>
      <c r="IF139" s="443"/>
      <c r="IG139" s="443"/>
      <c r="IH139" s="443"/>
      <c r="II139" s="443"/>
      <c r="IJ139" s="443"/>
      <c r="IK139" s="443"/>
      <c r="IL139" s="443"/>
      <c r="IM139" s="443"/>
      <c r="IN139" s="443"/>
      <c r="IO139" s="443"/>
      <c r="IP139" s="443"/>
      <c r="IQ139" s="443"/>
      <c r="IR139" s="443"/>
      <c r="IS139" s="443"/>
      <c r="IT139" s="443"/>
      <c r="IU139" s="443"/>
      <c r="IV139" s="443"/>
    </row>
    <row r="140" spans="233:256" s="444" customFormat="1" ht="15.75">
      <c r="HY140" s="42"/>
      <c r="HZ140" s="42"/>
      <c r="IA140" s="443"/>
      <c r="IB140" s="443"/>
      <c r="IC140" s="443"/>
      <c r="ID140" s="443"/>
      <c r="IE140" s="443"/>
      <c r="IF140" s="443"/>
      <c r="IG140" s="443"/>
      <c r="IH140" s="443"/>
      <c r="II140" s="443"/>
      <c r="IJ140" s="443"/>
      <c r="IK140" s="443"/>
      <c r="IL140" s="443"/>
      <c r="IM140" s="443"/>
      <c r="IN140" s="443"/>
      <c r="IO140" s="443"/>
      <c r="IP140" s="443"/>
      <c r="IQ140" s="443"/>
      <c r="IR140" s="443"/>
      <c r="IS140" s="443"/>
      <c r="IT140" s="443"/>
      <c r="IU140" s="443"/>
      <c r="IV140" s="443"/>
    </row>
    <row r="141" spans="233:256" s="444" customFormat="1" ht="15.75">
      <c r="HY141" s="42"/>
      <c r="HZ141" s="42"/>
      <c r="IA141" s="443"/>
      <c r="IB141" s="443"/>
      <c r="IC141" s="443"/>
      <c r="ID141" s="443"/>
      <c r="IE141" s="443"/>
      <c r="IF141" s="443"/>
      <c r="IG141" s="443"/>
      <c r="IH141" s="443"/>
      <c r="II141" s="443"/>
      <c r="IJ141" s="443"/>
      <c r="IK141" s="443"/>
      <c r="IL141" s="443"/>
      <c r="IM141" s="443"/>
      <c r="IN141" s="443"/>
      <c r="IO141" s="443"/>
      <c r="IP141" s="443"/>
      <c r="IQ141" s="443"/>
      <c r="IR141" s="443"/>
      <c r="IS141" s="443"/>
      <c r="IT141" s="443"/>
      <c r="IU141" s="443"/>
      <c r="IV141" s="443"/>
    </row>
    <row r="142" spans="233:256" s="444" customFormat="1" ht="15.75">
      <c r="HY142" s="42"/>
      <c r="HZ142" s="42"/>
      <c r="IA142" s="443"/>
      <c r="IB142" s="443"/>
      <c r="IC142" s="443"/>
      <c r="ID142" s="443"/>
      <c r="IE142" s="443"/>
      <c r="IF142" s="443"/>
      <c r="IG142" s="443"/>
      <c r="IH142" s="443"/>
      <c r="II142" s="443"/>
      <c r="IJ142" s="443"/>
      <c r="IK142" s="443"/>
      <c r="IL142" s="443"/>
      <c r="IM142" s="443"/>
      <c r="IN142" s="443"/>
      <c r="IO142" s="443"/>
      <c r="IP142" s="443"/>
      <c r="IQ142" s="443"/>
      <c r="IR142" s="443"/>
      <c r="IS142" s="443"/>
      <c r="IT142" s="443"/>
      <c r="IU142" s="443"/>
      <c r="IV142" s="443"/>
    </row>
    <row r="143" spans="233:256" s="444" customFormat="1" ht="15.75">
      <c r="HY143" s="42"/>
      <c r="HZ143" s="42"/>
      <c r="IA143" s="443"/>
      <c r="IB143" s="443"/>
      <c r="IC143" s="443"/>
      <c r="ID143" s="443"/>
      <c r="IE143" s="443"/>
      <c r="IF143" s="443"/>
      <c r="IG143" s="443"/>
      <c r="IH143" s="443"/>
      <c r="II143" s="443"/>
      <c r="IJ143" s="443"/>
      <c r="IK143" s="443"/>
      <c r="IL143" s="443"/>
      <c r="IM143" s="443"/>
      <c r="IN143" s="443"/>
      <c r="IO143" s="443"/>
      <c r="IP143" s="443"/>
      <c r="IQ143" s="443"/>
      <c r="IR143" s="443"/>
      <c r="IS143" s="443"/>
      <c r="IT143" s="443"/>
      <c r="IU143" s="443"/>
      <c r="IV143" s="443"/>
    </row>
    <row r="144" spans="233:256" s="444" customFormat="1" ht="15.75">
      <c r="HY144" s="42"/>
      <c r="HZ144" s="42"/>
      <c r="IA144" s="443"/>
      <c r="IB144" s="443"/>
      <c r="IC144" s="443"/>
      <c r="ID144" s="443"/>
      <c r="IE144" s="443"/>
      <c r="IF144" s="443"/>
      <c r="IG144" s="443"/>
      <c r="IH144" s="443"/>
      <c r="II144" s="443"/>
      <c r="IJ144" s="443"/>
      <c r="IK144" s="443"/>
      <c r="IL144" s="443"/>
      <c r="IM144" s="443"/>
      <c r="IN144" s="443"/>
      <c r="IO144" s="443"/>
      <c r="IP144" s="443"/>
      <c r="IQ144" s="443"/>
      <c r="IR144" s="443"/>
      <c r="IS144" s="443"/>
      <c r="IT144" s="443"/>
      <c r="IU144" s="443"/>
      <c r="IV144" s="443"/>
    </row>
    <row r="145" spans="233:256" s="444" customFormat="1" ht="15.75">
      <c r="HY145" s="42"/>
      <c r="HZ145" s="42"/>
      <c r="IA145" s="443"/>
      <c r="IB145" s="443"/>
      <c r="IC145" s="443"/>
      <c r="ID145" s="443"/>
      <c r="IE145" s="443"/>
      <c r="IF145" s="443"/>
      <c r="IG145" s="443"/>
      <c r="IH145" s="443"/>
      <c r="II145" s="443"/>
      <c r="IJ145" s="443"/>
      <c r="IK145" s="443"/>
      <c r="IL145" s="443"/>
      <c r="IM145" s="443"/>
      <c r="IN145" s="443"/>
      <c r="IO145" s="443"/>
      <c r="IP145" s="443"/>
      <c r="IQ145" s="443"/>
      <c r="IR145" s="443"/>
      <c r="IS145" s="443"/>
      <c r="IT145" s="443"/>
      <c r="IU145" s="443"/>
      <c r="IV145" s="443"/>
    </row>
    <row r="146" spans="233:256" s="444" customFormat="1" ht="15.75">
      <c r="HY146" s="42"/>
      <c r="HZ146" s="42"/>
      <c r="IA146" s="443"/>
      <c r="IB146" s="443"/>
      <c r="IC146" s="443"/>
      <c r="ID146" s="443"/>
      <c r="IE146" s="443"/>
      <c r="IF146" s="443"/>
      <c r="IG146" s="443"/>
      <c r="IH146" s="443"/>
      <c r="II146" s="443"/>
      <c r="IJ146" s="443"/>
      <c r="IK146" s="443"/>
      <c r="IL146" s="443"/>
      <c r="IM146" s="443"/>
      <c r="IN146" s="443"/>
      <c r="IO146" s="443"/>
      <c r="IP146" s="443"/>
      <c r="IQ146" s="443"/>
      <c r="IR146" s="443"/>
      <c r="IS146" s="443"/>
      <c r="IT146" s="443"/>
      <c r="IU146" s="443"/>
      <c r="IV146" s="443"/>
    </row>
    <row r="147" spans="233:256" s="444" customFormat="1" ht="15.75">
      <c r="HY147" s="42"/>
      <c r="HZ147" s="42"/>
      <c r="IA147" s="443"/>
      <c r="IB147" s="443"/>
      <c r="IC147" s="443"/>
      <c r="ID147" s="443"/>
      <c r="IE147" s="443"/>
      <c r="IF147" s="443"/>
      <c r="IG147" s="443"/>
      <c r="IH147" s="443"/>
      <c r="II147" s="443"/>
      <c r="IJ147" s="443"/>
      <c r="IK147" s="443"/>
      <c r="IL147" s="443"/>
      <c r="IM147" s="443"/>
      <c r="IN147" s="443"/>
      <c r="IO147" s="443"/>
      <c r="IP147" s="443"/>
      <c r="IQ147" s="443"/>
      <c r="IR147" s="443"/>
      <c r="IS147" s="443"/>
      <c r="IT147" s="443"/>
      <c r="IU147" s="443"/>
      <c r="IV147" s="443"/>
    </row>
    <row r="148" spans="233:256" s="444" customFormat="1" ht="15.75">
      <c r="HY148" s="42"/>
      <c r="HZ148" s="42"/>
      <c r="IA148" s="443"/>
      <c r="IB148" s="443"/>
      <c r="IC148" s="443"/>
      <c r="ID148" s="443"/>
      <c r="IE148" s="443"/>
      <c r="IF148" s="443"/>
      <c r="IG148" s="443"/>
      <c r="IH148" s="443"/>
      <c r="II148" s="443"/>
      <c r="IJ148" s="443"/>
      <c r="IK148" s="443"/>
      <c r="IL148" s="443"/>
      <c r="IM148" s="443"/>
      <c r="IN148" s="443"/>
      <c r="IO148" s="443"/>
      <c r="IP148" s="443"/>
      <c r="IQ148" s="443"/>
      <c r="IR148" s="443"/>
      <c r="IS148" s="443"/>
      <c r="IT148" s="443"/>
      <c r="IU148" s="443"/>
      <c r="IV148" s="443"/>
    </row>
    <row r="149" spans="233:256" s="444" customFormat="1" ht="15.75">
      <c r="HY149" s="42"/>
      <c r="HZ149" s="42"/>
      <c r="IA149" s="443"/>
      <c r="IB149" s="443"/>
      <c r="IC149" s="443"/>
      <c r="ID149" s="443"/>
      <c r="IE149" s="443"/>
      <c r="IF149" s="443"/>
      <c r="IG149" s="443"/>
      <c r="IH149" s="443"/>
      <c r="II149" s="443"/>
      <c r="IJ149" s="443"/>
      <c r="IK149" s="443"/>
      <c r="IL149" s="443"/>
      <c r="IM149" s="443"/>
      <c r="IN149" s="443"/>
      <c r="IO149" s="443"/>
      <c r="IP149" s="443"/>
      <c r="IQ149" s="443"/>
      <c r="IR149" s="443"/>
      <c r="IS149" s="443"/>
      <c r="IT149" s="443"/>
      <c r="IU149" s="443"/>
      <c r="IV149" s="443"/>
    </row>
    <row r="150" spans="233:256" s="444" customFormat="1" ht="15.75">
      <c r="HY150" s="42"/>
      <c r="HZ150" s="42"/>
      <c r="IA150" s="443"/>
      <c r="IB150" s="443"/>
      <c r="IC150" s="443"/>
      <c r="ID150" s="443"/>
      <c r="IE150" s="443"/>
      <c r="IF150" s="443"/>
      <c r="IG150" s="443"/>
      <c r="IH150" s="443"/>
      <c r="II150" s="443"/>
      <c r="IJ150" s="443"/>
      <c r="IK150" s="443"/>
      <c r="IL150" s="443"/>
      <c r="IM150" s="443"/>
      <c r="IN150" s="443"/>
      <c r="IO150" s="443"/>
      <c r="IP150" s="443"/>
      <c r="IQ150" s="443"/>
      <c r="IR150" s="443"/>
      <c r="IS150" s="443"/>
      <c r="IT150" s="443"/>
      <c r="IU150" s="443"/>
      <c r="IV150" s="443"/>
    </row>
    <row r="151" spans="233:256" s="444" customFormat="1" ht="15.75">
      <c r="HY151" s="42"/>
      <c r="HZ151" s="42"/>
      <c r="IA151" s="443"/>
      <c r="IB151" s="443"/>
      <c r="IC151" s="443"/>
      <c r="ID151" s="443"/>
      <c r="IE151" s="443"/>
      <c r="IF151" s="443"/>
      <c r="IG151" s="443"/>
      <c r="IH151" s="443"/>
      <c r="II151" s="443"/>
      <c r="IJ151" s="443"/>
      <c r="IK151" s="443"/>
      <c r="IL151" s="443"/>
      <c r="IM151" s="443"/>
      <c r="IN151" s="443"/>
      <c r="IO151" s="443"/>
      <c r="IP151" s="443"/>
      <c r="IQ151" s="443"/>
      <c r="IR151" s="443"/>
      <c r="IS151" s="443"/>
      <c r="IT151" s="443"/>
      <c r="IU151" s="443"/>
      <c r="IV151" s="443"/>
    </row>
    <row r="152" spans="233:256" s="444" customFormat="1" ht="15.75">
      <c r="HY152" s="42"/>
      <c r="HZ152" s="42"/>
      <c r="IA152" s="443"/>
      <c r="IB152" s="443"/>
      <c r="IC152" s="443"/>
      <c r="ID152" s="443"/>
      <c r="IE152" s="443"/>
      <c r="IF152" s="443"/>
      <c r="IG152" s="443"/>
      <c r="IH152" s="443"/>
      <c r="II152" s="443"/>
      <c r="IJ152" s="443"/>
      <c r="IK152" s="443"/>
      <c r="IL152" s="443"/>
      <c r="IM152" s="443"/>
      <c r="IN152" s="443"/>
      <c r="IO152" s="443"/>
      <c r="IP152" s="443"/>
      <c r="IQ152" s="443"/>
      <c r="IR152" s="443"/>
      <c r="IS152" s="443"/>
      <c r="IT152" s="443"/>
      <c r="IU152" s="443"/>
      <c r="IV152" s="443"/>
    </row>
    <row r="153" spans="233:256" s="444" customFormat="1" ht="15.75">
      <c r="HY153" s="42"/>
      <c r="HZ153" s="42"/>
      <c r="IA153" s="443"/>
      <c r="IB153" s="443"/>
      <c r="IC153" s="443"/>
      <c r="ID153" s="443"/>
      <c r="IE153" s="443"/>
      <c r="IF153" s="443"/>
      <c r="IG153" s="443"/>
      <c r="IH153" s="443"/>
      <c r="II153" s="443"/>
      <c r="IJ153" s="443"/>
      <c r="IK153" s="443"/>
      <c r="IL153" s="443"/>
      <c r="IM153" s="443"/>
      <c r="IN153" s="443"/>
      <c r="IO153" s="443"/>
      <c r="IP153" s="443"/>
      <c r="IQ153" s="443"/>
      <c r="IR153" s="443"/>
      <c r="IS153" s="443"/>
      <c r="IT153" s="443"/>
      <c r="IU153" s="443"/>
      <c r="IV153" s="443"/>
    </row>
    <row r="154" spans="233:256" s="444" customFormat="1" ht="15.75">
      <c r="HY154" s="42"/>
      <c r="HZ154" s="42"/>
      <c r="IA154" s="443"/>
      <c r="IB154" s="443"/>
      <c r="IC154" s="443"/>
      <c r="ID154" s="443"/>
      <c r="IE154" s="443"/>
      <c r="IF154" s="443"/>
      <c r="IG154" s="443"/>
      <c r="IH154" s="443"/>
      <c r="II154" s="443"/>
      <c r="IJ154" s="443"/>
      <c r="IK154" s="443"/>
      <c r="IL154" s="443"/>
      <c r="IM154" s="443"/>
      <c r="IN154" s="443"/>
      <c r="IO154" s="443"/>
      <c r="IP154" s="443"/>
      <c r="IQ154" s="443"/>
      <c r="IR154" s="443"/>
      <c r="IS154" s="443"/>
      <c r="IT154" s="443"/>
      <c r="IU154" s="443"/>
      <c r="IV154" s="443"/>
    </row>
    <row r="155" spans="233:256" s="444" customFormat="1" ht="15.75">
      <c r="HY155" s="42"/>
      <c r="HZ155" s="42"/>
      <c r="IA155" s="443"/>
      <c r="IB155" s="443"/>
      <c r="IC155" s="443"/>
      <c r="ID155" s="443"/>
      <c r="IE155" s="443"/>
      <c r="IF155" s="443"/>
      <c r="IG155" s="443"/>
      <c r="IH155" s="443"/>
      <c r="II155" s="443"/>
      <c r="IJ155" s="443"/>
      <c r="IK155" s="443"/>
      <c r="IL155" s="443"/>
      <c r="IM155" s="443"/>
      <c r="IN155" s="443"/>
      <c r="IO155" s="443"/>
      <c r="IP155" s="443"/>
      <c r="IQ155" s="443"/>
      <c r="IR155" s="443"/>
      <c r="IS155" s="443"/>
      <c r="IT155" s="443"/>
      <c r="IU155" s="443"/>
      <c r="IV155" s="443"/>
    </row>
    <row r="156" spans="233:256" s="444" customFormat="1" ht="15.75">
      <c r="HY156" s="42"/>
      <c r="HZ156" s="42"/>
      <c r="IA156" s="443"/>
      <c r="IB156" s="443"/>
      <c r="IC156" s="443"/>
      <c r="ID156" s="443"/>
      <c r="IE156" s="443"/>
      <c r="IF156" s="443"/>
      <c r="IG156" s="443"/>
      <c r="IH156" s="443"/>
      <c r="II156" s="443"/>
      <c r="IJ156" s="443"/>
      <c r="IK156" s="443"/>
      <c r="IL156" s="443"/>
      <c r="IM156" s="443"/>
      <c r="IN156" s="443"/>
      <c r="IO156" s="443"/>
      <c r="IP156" s="443"/>
      <c r="IQ156" s="443"/>
      <c r="IR156" s="443"/>
      <c r="IS156" s="443"/>
      <c r="IT156" s="443"/>
      <c r="IU156" s="443"/>
      <c r="IV156" s="443"/>
    </row>
    <row r="157" spans="233:256" s="444" customFormat="1" ht="15.75">
      <c r="HY157" s="42"/>
      <c r="HZ157" s="42"/>
      <c r="IA157" s="443"/>
      <c r="IB157" s="443"/>
      <c r="IC157" s="443"/>
      <c r="ID157" s="443"/>
      <c r="IE157" s="443"/>
      <c r="IF157" s="443"/>
      <c r="IG157" s="443"/>
      <c r="IH157" s="443"/>
      <c r="II157" s="443"/>
      <c r="IJ157" s="443"/>
      <c r="IK157" s="443"/>
      <c r="IL157" s="443"/>
      <c r="IM157" s="443"/>
      <c r="IN157" s="443"/>
      <c r="IO157" s="443"/>
      <c r="IP157" s="443"/>
      <c r="IQ157" s="443"/>
      <c r="IR157" s="443"/>
      <c r="IS157" s="443"/>
      <c r="IT157" s="443"/>
      <c r="IU157" s="443"/>
      <c r="IV157" s="443"/>
    </row>
    <row r="158" spans="233:256" s="444" customFormat="1" ht="15.75">
      <c r="HY158" s="42"/>
      <c r="HZ158" s="42"/>
      <c r="IA158" s="443"/>
      <c r="IB158" s="443"/>
      <c r="IC158" s="443"/>
      <c r="ID158" s="443"/>
      <c r="IE158" s="443"/>
      <c r="IF158" s="443"/>
      <c r="IG158" s="443"/>
      <c r="IH158" s="443"/>
      <c r="II158" s="443"/>
      <c r="IJ158" s="443"/>
      <c r="IK158" s="443"/>
      <c r="IL158" s="443"/>
      <c r="IM158" s="443"/>
      <c r="IN158" s="443"/>
      <c r="IO158" s="443"/>
      <c r="IP158" s="443"/>
      <c r="IQ158" s="443"/>
      <c r="IR158" s="443"/>
      <c r="IS158" s="443"/>
      <c r="IT158" s="443"/>
      <c r="IU158" s="443"/>
      <c r="IV158" s="443"/>
    </row>
  </sheetData>
  <mergeCells count="13">
    <mergeCell ref="G5:K5"/>
    <mergeCell ref="L5:L6"/>
    <mergeCell ref="A26:L26"/>
    <mergeCell ref="A1:L1"/>
    <mergeCell ref="A2:L2"/>
    <mergeCell ref="A3:D3"/>
    <mergeCell ref="A4:A6"/>
    <mergeCell ref="B4:B6"/>
    <mergeCell ref="C4:C6"/>
    <mergeCell ref="D4:D6"/>
    <mergeCell ref="E4:E6"/>
    <mergeCell ref="F4:L4"/>
    <mergeCell ref="F5:F6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99" r:id="rId1"/>
  <headerFooter alignWithMargins="0">
    <oddFooter>&amp;C&amp;"Times New Roman,Normalny"&amp;12Strona &amp;P z &amp;N</oddFooter>
  </headerFooter>
  <rowBreaks count="1" manualBreakCount="1">
    <brk id="2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showGridLines="0" defaultGridColor="0" view="pageBreakPreview" zoomScale="90" zoomScaleSheetLayoutView="90" colorId="15" workbookViewId="0" topLeftCell="A1">
      <selection activeCell="A2" sqref="A2"/>
    </sheetView>
  </sheetViews>
  <sheetFormatPr defaultColWidth="9.00390625" defaultRowHeight="12.75"/>
  <cols>
    <col min="1" max="1" width="4.75390625" style="116" customWidth="1"/>
    <col min="2" max="2" width="35.00390625" style="116" customWidth="1"/>
    <col min="3" max="3" width="11.00390625" style="459" customWidth="1"/>
    <col min="4" max="4" width="10.75390625" style="459" customWidth="1"/>
    <col min="5" max="5" width="10.25390625" style="459" customWidth="1"/>
    <col min="6" max="6" width="8.75390625" style="459" customWidth="1"/>
    <col min="7" max="7" width="10.875" style="459" customWidth="1"/>
    <col min="8" max="8" width="9.75390625" style="459" customWidth="1"/>
    <col min="9" max="9" width="10.625" style="459" customWidth="1"/>
    <col min="10" max="10" width="9.625" style="459" customWidth="1"/>
    <col min="11" max="11" width="14.25390625" style="116" customWidth="1"/>
    <col min="12" max="16384" width="9.00390625" style="116" customWidth="1"/>
  </cols>
  <sheetData>
    <row r="1" spans="1:11" ht="15" customHeight="1">
      <c r="A1" s="779" t="s">
        <v>742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2" spans="1:11" ht="48" customHeight="1">
      <c r="A2" s="752" t="s">
        <v>743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</row>
    <row r="3" ht="9.75" customHeight="1">
      <c r="K3" s="460" t="s">
        <v>274</v>
      </c>
    </row>
    <row r="4" spans="1:11" s="105" customFormat="1" ht="30" customHeight="1">
      <c r="A4" s="813"/>
      <c r="B4" s="813" t="s">
        <v>744</v>
      </c>
      <c r="C4" s="814" t="s">
        <v>745</v>
      </c>
      <c r="D4" s="814" t="s">
        <v>746</v>
      </c>
      <c r="E4" s="814"/>
      <c r="F4" s="814"/>
      <c r="G4" s="814"/>
      <c r="H4" s="814" t="s">
        <v>747</v>
      </c>
      <c r="I4" s="814"/>
      <c r="J4" s="814" t="s">
        <v>748</v>
      </c>
      <c r="K4" s="722" t="s">
        <v>749</v>
      </c>
    </row>
    <row r="5" spans="1:11" s="105" customFormat="1" ht="12" customHeight="1">
      <c r="A5" s="813"/>
      <c r="B5" s="813"/>
      <c r="C5" s="814"/>
      <c r="D5" s="814" t="s">
        <v>750</v>
      </c>
      <c r="E5" s="815" t="s">
        <v>216</v>
      </c>
      <c r="F5" s="815"/>
      <c r="G5" s="815"/>
      <c r="H5" s="814" t="s">
        <v>750</v>
      </c>
      <c r="I5" s="814" t="s">
        <v>751</v>
      </c>
      <c r="J5" s="814"/>
      <c r="K5" s="722"/>
    </row>
    <row r="6" spans="1:11" s="105" customFormat="1" ht="18" customHeight="1">
      <c r="A6" s="813"/>
      <c r="B6" s="813"/>
      <c r="C6" s="814"/>
      <c r="D6" s="814"/>
      <c r="E6" s="814" t="s">
        <v>752</v>
      </c>
      <c r="F6" s="815" t="s">
        <v>300</v>
      </c>
      <c r="G6" s="815"/>
      <c r="H6" s="814"/>
      <c r="I6" s="814"/>
      <c r="J6" s="814"/>
      <c r="K6" s="722"/>
    </row>
    <row r="7" spans="1:11" ht="42" customHeight="1">
      <c r="A7" s="813"/>
      <c r="B7" s="813"/>
      <c r="C7" s="814"/>
      <c r="D7" s="814"/>
      <c r="E7" s="814"/>
      <c r="F7" s="464" t="s">
        <v>753</v>
      </c>
      <c r="G7" s="464" t="s">
        <v>754</v>
      </c>
      <c r="H7" s="814"/>
      <c r="I7" s="814"/>
      <c r="J7" s="814"/>
      <c r="K7" s="722"/>
    </row>
    <row r="8" spans="1:11" ht="12.75" customHeight="1">
      <c r="A8" s="193">
        <v>1</v>
      </c>
      <c r="B8" s="193">
        <v>2</v>
      </c>
      <c r="C8" s="215">
        <v>3</v>
      </c>
      <c r="D8" s="215">
        <v>4</v>
      </c>
      <c r="E8" s="215">
        <v>5</v>
      </c>
      <c r="F8" s="215">
        <v>6</v>
      </c>
      <c r="G8" s="215">
        <v>7</v>
      </c>
      <c r="H8" s="215">
        <v>8</v>
      </c>
      <c r="I8" s="215">
        <v>9</v>
      </c>
      <c r="J8" s="215">
        <v>10</v>
      </c>
      <c r="K8" s="193">
        <v>11</v>
      </c>
    </row>
    <row r="9" spans="1:11" ht="29.25" customHeight="1">
      <c r="A9" s="170" t="s">
        <v>755</v>
      </c>
      <c r="B9" s="171" t="s">
        <v>756</v>
      </c>
      <c r="C9" s="233"/>
      <c r="D9" s="233"/>
      <c r="E9" s="215" t="s">
        <v>757</v>
      </c>
      <c r="F9" s="215" t="s">
        <v>757</v>
      </c>
      <c r="G9" s="215" t="s">
        <v>757</v>
      </c>
      <c r="H9" s="233"/>
      <c r="I9" s="215" t="s">
        <v>757</v>
      </c>
      <c r="J9" s="233"/>
      <c r="K9" s="214"/>
    </row>
    <row r="10" spans="1:11" ht="19.5" customHeight="1">
      <c r="A10" s="214"/>
      <c r="B10" s="465" t="s">
        <v>300</v>
      </c>
      <c r="C10" s="233">
        <f aca="true" t="shared" si="0" ref="C10:J10">SUM(C11:C17)</f>
        <v>7306</v>
      </c>
      <c r="D10" s="233">
        <f t="shared" si="0"/>
        <v>12400</v>
      </c>
      <c r="E10" s="233">
        <f t="shared" si="0"/>
        <v>0</v>
      </c>
      <c r="F10" s="233">
        <f t="shared" si="0"/>
        <v>0</v>
      </c>
      <c r="G10" s="233">
        <f t="shared" si="0"/>
        <v>0</v>
      </c>
      <c r="H10" s="233">
        <f t="shared" si="0"/>
        <v>13170</v>
      </c>
      <c r="I10" s="233">
        <f t="shared" si="0"/>
        <v>0</v>
      </c>
      <c r="J10" s="233">
        <f t="shared" si="0"/>
        <v>6536</v>
      </c>
      <c r="K10" s="214"/>
    </row>
    <row r="11" spans="1:11" ht="19.5" customHeight="1">
      <c r="A11" s="214"/>
      <c r="B11" s="466" t="s">
        <v>758</v>
      </c>
      <c r="C11" s="233">
        <v>1927</v>
      </c>
      <c r="D11" s="233">
        <v>5000</v>
      </c>
      <c r="E11" s="215" t="s">
        <v>757</v>
      </c>
      <c r="F11" s="215" t="s">
        <v>757</v>
      </c>
      <c r="G11" s="215" t="s">
        <v>757</v>
      </c>
      <c r="H11" s="233">
        <v>5500</v>
      </c>
      <c r="I11" s="215" t="s">
        <v>757</v>
      </c>
      <c r="J11" s="233">
        <f aca="true" t="shared" si="1" ref="J11:J17">C11+D11-H11</f>
        <v>1427</v>
      </c>
      <c r="K11" s="214"/>
    </row>
    <row r="12" spans="1:11" ht="19.5" customHeight="1">
      <c r="A12" s="214"/>
      <c r="B12" s="466" t="s">
        <v>759</v>
      </c>
      <c r="C12" s="233">
        <v>490</v>
      </c>
      <c r="D12" s="233">
        <v>250</v>
      </c>
      <c r="E12" s="215" t="s">
        <v>757</v>
      </c>
      <c r="F12" s="215" t="s">
        <v>757</v>
      </c>
      <c r="G12" s="215" t="s">
        <v>757</v>
      </c>
      <c r="H12" s="233">
        <v>560</v>
      </c>
      <c r="I12" s="215" t="s">
        <v>757</v>
      </c>
      <c r="J12" s="233">
        <f t="shared" si="1"/>
        <v>180</v>
      </c>
      <c r="K12" s="214"/>
    </row>
    <row r="13" spans="1:11" ht="19.5" customHeight="1">
      <c r="A13" s="214"/>
      <c r="B13" s="466" t="s">
        <v>760</v>
      </c>
      <c r="C13" s="233">
        <v>0</v>
      </c>
      <c r="D13" s="233">
        <v>800</v>
      </c>
      <c r="E13" s="215" t="s">
        <v>757</v>
      </c>
      <c r="F13" s="215" t="s">
        <v>757</v>
      </c>
      <c r="G13" s="215" t="s">
        <v>757</v>
      </c>
      <c r="H13" s="233">
        <v>760</v>
      </c>
      <c r="I13" s="215" t="s">
        <v>757</v>
      </c>
      <c r="J13" s="233">
        <f t="shared" si="1"/>
        <v>40</v>
      </c>
      <c r="K13" s="214"/>
    </row>
    <row r="14" spans="1:11" ht="19.5" customHeight="1">
      <c r="A14" s="214"/>
      <c r="B14" s="466" t="s">
        <v>761</v>
      </c>
      <c r="C14" s="233">
        <v>3831</v>
      </c>
      <c r="D14" s="233">
        <v>1500</v>
      </c>
      <c r="E14" s="215" t="s">
        <v>757</v>
      </c>
      <c r="F14" s="215" t="s">
        <v>757</v>
      </c>
      <c r="G14" s="215" t="s">
        <v>757</v>
      </c>
      <c r="H14" s="233">
        <v>1500</v>
      </c>
      <c r="I14" s="215" t="s">
        <v>757</v>
      </c>
      <c r="J14" s="233">
        <f t="shared" si="1"/>
        <v>3831</v>
      </c>
      <c r="K14" s="214"/>
    </row>
    <row r="15" spans="1:11" ht="19.5" customHeight="1">
      <c r="A15" s="214"/>
      <c r="B15" s="466" t="s">
        <v>762</v>
      </c>
      <c r="C15" s="233">
        <v>858</v>
      </c>
      <c r="D15" s="233">
        <v>3800</v>
      </c>
      <c r="E15" s="215" t="s">
        <v>757</v>
      </c>
      <c r="F15" s="215" t="s">
        <v>757</v>
      </c>
      <c r="G15" s="215" t="s">
        <v>757</v>
      </c>
      <c r="H15" s="233">
        <v>3800</v>
      </c>
      <c r="I15" s="215" t="s">
        <v>757</v>
      </c>
      <c r="J15" s="233">
        <f t="shared" si="1"/>
        <v>858</v>
      </c>
      <c r="K15" s="214"/>
    </row>
    <row r="16" spans="1:11" ht="19.5" customHeight="1">
      <c r="A16" s="214"/>
      <c r="B16" s="466" t="s">
        <v>763</v>
      </c>
      <c r="C16" s="233">
        <v>170</v>
      </c>
      <c r="D16" s="233">
        <v>900</v>
      </c>
      <c r="E16" s="215" t="s">
        <v>757</v>
      </c>
      <c r="F16" s="215" t="s">
        <v>757</v>
      </c>
      <c r="G16" s="215" t="s">
        <v>757</v>
      </c>
      <c r="H16" s="233">
        <v>900</v>
      </c>
      <c r="I16" s="215" t="s">
        <v>757</v>
      </c>
      <c r="J16" s="233">
        <f t="shared" si="1"/>
        <v>170</v>
      </c>
      <c r="K16" s="214"/>
    </row>
    <row r="17" spans="1:11" ht="19.5" customHeight="1">
      <c r="A17" s="214"/>
      <c r="B17" s="466" t="s">
        <v>764</v>
      </c>
      <c r="C17" s="233">
        <v>30</v>
      </c>
      <c r="D17" s="233">
        <v>150</v>
      </c>
      <c r="E17" s="215" t="s">
        <v>757</v>
      </c>
      <c r="F17" s="215" t="s">
        <v>757</v>
      </c>
      <c r="G17" s="215" t="s">
        <v>757</v>
      </c>
      <c r="H17" s="233">
        <v>150</v>
      </c>
      <c r="I17" s="215" t="s">
        <v>757</v>
      </c>
      <c r="J17" s="233">
        <f t="shared" si="1"/>
        <v>30</v>
      </c>
      <c r="K17" s="214"/>
    </row>
    <row r="18" spans="1:11" s="221" customFormat="1" ht="19.5" customHeight="1">
      <c r="A18" s="816" t="s">
        <v>289</v>
      </c>
      <c r="B18" s="816"/>
      <c r="C18" s="467">
        <f aca="true" t="shared" si="2" ref="C18:J18">C10</f>
        <v>7306</v>
      </c>
      <c r="D18" s="467">
        <f t="shared" si="2"/>
        <v>12400</v>
      </c>
      <c r="E18" s="467">
        <f t="shared" si="2"/>
        <v>0</v>
      </c>
      <c r="F18" s="467">
        <f t="shared" si="2"/>
        <v>0</v>
      </c>
      <c r="G18" s="467">
        <f t="shared" si="2"/>
        <v>0</v>
      </c>
      <c r="H18" s="467">
        <f t="shared" si="2"/>
        <v>13170</v>
      </c>
      <c r="I18" s="467">
        <f t="shared" si="2"/>
        <v>0</v>
      </c>
      <c r="J18" s="467">
        <f t="shared" si="2"/>
        <v>6536</v>
      </c>
      <c r="K18" s="437"/>
    </row>
    <row r="19" ht="15" customHeight="1"/>
    <row r="20" ht="12.75" customHeight="1">
      <c r="A20" s="314"/>
    </row>
    <row r="21" ht="15.75">
      <c r="A21" s="314"/>
    </row>
    <row r="22" ht="15.75">
      <c r="A22" s="314"/>
    </row>
    <row r="23" ht="15.75">
      <c r="A23" s="314"/>
    </row>
  </sheetData>
  <mergeCells count="16">
    <mergeCell ref="A18:B18"/>
    <mergeCell ref="E5:G5"/>
    <mergeCell ref="H5:H7"/>
    <mergeCell ref="I5:I7"/>
    <mergeCell ref="E6:E7"/>
    <mergeCell ref="F6:G6"/>
    <mergeCell ref="A1:K1"/>
    <mergeCell ref="A2:K2"/>
    <mergeCell ref="A4:A7"/>
    <mergeCell ref="B4:B7"/>
    <mergeCell ref="C4:C7"/>
    <mergeCell ref="D4:G4"/>
    <mergeCell ref="H4:I4"/>
    <mergeCell ref="J4:J7"/>
    <mergeCell ref="K4:K7"/>
    <mergeCell ref="D5:D7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r:id="rId1"/>
  <headerFooter alignWithMargins="0">
    <oddFooter>&amp;C&amp;"Times New Roman,Normalny"&amp;12Strona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1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2.75"/>
  <cols>
    <col min="1" max="1" width="6.75390625" style="468" customWidth="1"/>
    <col min="2" max="2" width="9.25390625" style="469" customWidth="1"/>
    <col min="3" max="3" width="8.75390625" style="469" customWidth="1"/>
    <col min="4" max="4" width="51.75390625" style="470" customWidth="1"/>
    <col min="5" max="5" width="12.75390625" style="470" customWidth="1"/>
    <col min="6" max="251" width="11.625" style="471" customWidth="1"/>
    <col min="252" max="16384" width="11.625" style="472" customWidth="1"/>
  </cols>
  <sheetData>
    <row r="1" spans="1:7" ht="23.25" customHeight="1">
      <c r="A1" s="763" t="s">
        <v>765</v>
      </c>
      <c r="B1" s="763"/>
      <c r="C1" s="763"/>
      <c r="D1" s="763"/>
      <c r="E1" s="763"/>
      <c r="F1" s="472"/>
      <c r="G1" s="472"/>
    </row>
    <row r="2" spans="1:7" ht="23.25" customHeight="1">
      <c r="A2" s="473"/>
      <c r="B2" s="473"/>
      <c r="C2" s="473"/>
      <c r="D2" s="473"/>
      <c r="E2" s="473"/>
      <c r="F2" s="472"/>
      <c r="G2" s="472"/>
    </row>
    <row r="3" spans="1:5" ht="35.25" customHeight="1">
      <c r="A3" s="817" t="s">
        <v>766</v>
      </c>
      <c r="B3" s="817"/>
      <c r="C3" s="817"/>
      <c r="D3" s="817"/>
      <c r="E3" s="817"/>
    </row>
    <row r="4" spans="1:5" ht="15" customHeight="1">
      <c r="A4" s="818"/>
      <c r="B4" s="818"/>
      <c r="C4" s="818"/>
      <c r="D4" s="818"/>
      <c r="E4" s="818"/>
    </row>
    <row r="5" spans="1:6" ht="12" customHeight="1">
      <c r="A5" s="474"/>
      <c r="B5" s="474"/>
      <c r="C5" s="474"/>
      <c r="D5" s="474"/>
      <c r="E5" s="475" t="s">
        <v>274</v>
      </c>
      <c r="F5" s="476"/>
    </row>
    <row r="6" spans="1:253" s="147" customFormat="1" ht="39.75" customHeight="1">
      <c r="A6" s="477" t="s">
        <v>275</v>
      </c>
      <c r="B6" s="224" t="s">
        <v>296</v>
      </c>
      <c r="C6" s="224" t="s">
        <v>297</v>
      </c>
      <c r="D6" s="478" t="s">
        <v>767</v>
      </c>
      <c r="E6" s="478" t="s">
        <v>463</v>
      </c>
      <c r="IR6" s="443"/>
      <c r="IS6" s="443"/>
    </row>
    <row r="7" spans="1:6" ht="15.75">
      <c r="A7" s="479" t="s">
        <v>287</v>
      </c>
      <c r="B7" s="480"/>
      <c r="C7" s="480"/>
      <c r="D7" s="481" t="s">
        <v>768</v>
      </c>
      <c r="E7" s="482">
        <f>E8</f>
        <v>1479665</v>
      </c>
      <c r="F7" s="483"/>
    </row>
    <row r="8" spans="1:6" ht="15.75">
      <c r="A8" s="484"/>
      <c r="B8" s="485">
        <v>92109</v>
      </c>
      <c r="C8" s="486"/>
      <c r="D8" s="487" t="s">
        <v>429</v>
      </c>
      <c r="E8" s="488">
        <f>E9</f>
        <v>1479665</v>
      </c>
      <c r="F8" s="483"/>
    </row>
    <row r="9" spans="1:5" ht="39.75" customHeight="1">
      <c r="A9" s="484"/>
      <c r="B9" s="486"/>
      <c r="C9" s="397">
        <v>2480</v>
      </c>
      <c r="D9" s="489" t="s">
        <v>0</v>
      </c>
      <c r="E9" s="269">
        <f>E10</f>
        <v>1479665</v>
      </c>
    </row>
    <row r="10" spans="1:5" ht="15.75">
      <c r="A10" s="484"/>
      <c r="B10" s="486"/>
      <c r="C10" s="397"/>
      <c r="D10" s="489" t="s">
        <v>1</v>
      </c>
      <c r="E10" s="269">
        <v>1479665</v>
      </c>
    </row>
    <row r="11" spans="1:253" s="491" customFormat="1" ht="16.5" customHeight="1">
      <c r="A11" s="768" t="s">
        <v>289</v>
      </c>
      <c r="B11" s="768"/>
      <c r="C11" s="768"/>
      <c r="D11" s="768"/>
      <c r="E11" s="490">
        <f>E7</f>
        <v>1479665</v>
      </c>
      <c r="IR11" s="492"/>
      <c r="IS11" s="492"/>
    </row>
  </sheetData>
  <mergeCells count="4">
    <mergeCell ref="A1:E1"/>
    <mergeCell ref="A3:E3"/>
    <mergeCell ref="A4:E4"/>
    <mergeCell ref="A11:D11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6"/>
  <sheetViews>
    <sheetView showGridLines="0" defaultGridColor="0" view="pageBreakPreview" zoomScale="90" zoomScaleSheetLayoutView="90" colorId="15" workbookViewId="0" topLeftCell="A1">
      <selection activeCell="H8" sqref="H8"/>
    </sheetView>
  </sheetViews>
  <sheetFormatPr defaultColWidth="9.00390625" defaultRowHeight="12.75"/>
  <cols>
    <col min="1" max="1" width="6.75390625" style="468" customWidth="1"/>
    <col min="2" max="2" width="9.25390625" style="469" customWidth="1"/>
    <col min="3" max="3" width="8.75390625" style="469" customWidth="1"/>
    <col min="4" max="4" width="45.75390625" style="470" customWidth="1"/>
    <col min="5" max="5" width="18.625" style="470" customWidth="1"/>
    <col min="6" max="251" width="11.625" style="471" customWidth="1"/>
    <col min="252" max="16384" width="11.625" style="472" customWidth="1"/>
  </cols>
  <sheetData>
    <row r="1" spans="1:5" ht="15">
      <c r="A1" s="819" t="s">
        <v>2</v>
      </c>
      <c r="B1" s="819"/>
      <c r="C1" s="819"/>
      <c r="D1" s="819"/>
      <c r="E1" s="819"/>
    </row>
    <row r="2" spans="1:7" ht="23.25" customHeight="1">
      <c r="A2" s="493"/>
      <c r="B2" s="493"/>
      <c r="C2" s="493"/>
      <c r="D2" s="493"/>
      <c r="E2" s="493"/>
      <c r="F2" s="472"/>
      <c r="G2" s="472"/>
    </row>
    <row r="3" spans="1:5" ht="29.25" customHeight="1">
      <c r="A3" s="820" t="s">
        <v>3</v>
      </c>
      <c r="B3" s="820"/>
      <c r="C3" s="820"/>
      <c r="D3" s="820"/>
      <c r="E3" s="820"/>
    </row>
    <row r="4" spans="1:5" ht="15" customHeight="1">
      <c r="A4" s="818"/>
      <c r="B4" s="818"/>
      <c r="C4" s="818"/>
      <c r="D4" s="818"/>
      <c r="E4" s="818"/>
    </row>
    <row r="5" spans="1:5" ht="19.5">
      <c r="A5" s="474"/>
      <c r="B5" s="474"/>
      <c r="C5" s="474"/>
      <c r="D5" s="474"/>
      <c r="E5" s="474"/>
    </row>
    <row r="6" spans="1:6" ht="12" customHeight="1">
      <c r="A6" s="474"/>
      <c r="B6" s="474"/>
      <c r="C6" s="474"/>
      <c r="D6" s="474"/>
      <c r="E6" s="475" t="s">
        <v>274</v>
      </c>
      <c r="F6" s="476"/>
    </row>
    <row r="7" spans="1:253" s="147" customFormat="1" ht="39.75" customHeight="1">
      <c r="A7" s="477" t="s">
        <v>275</v>
      </c>
      <c r="B7" s="224" t="s">
        <v>296</v>
      </c>
      <c r="C7" s="224" t="s">
        <v>297</v>
      </c>
      <c r="D7" s="478" t="s">
        <v>767</v>
      </c>
      <c r="E7" s="478" t="s">
        <v>438</v>
      </c>
      <c r="IR7" s="443"/>
      <c r="IS7" s="443"/>
    </row>
    <row r="8" spans="1:253" s="495" customFormat="1" ht="15.75" customHeight="1">
      <c r="A8" s="479" t="s">
        <v>284</v>
      </c>
      <c r="B8" s="365"/>
      <c r="C8" s="365"/>
      <c r="D8" s="494" t="s">
        <v>4</v>
      </c>
      <c r="E8" s="366">
        <f>E9</f>
        <v>623270</v>
      </c>
      <c r="IR8" s="252"/>
      <c r="IS8" s="252"/>
    </row>
    <row r="9" spans="1:253" s="495" customFormat="1" ht="15.75" customHeight="1">
      <c r="A9" s="484"/>
      <c r="B9" s="496">
        <v>80104</v>
      </c>
      <c r="C9" s="496"/>
      <c r="D9" s="497" t="s">
        <v>405</v>
      </c>
      <c r="E9" s="498">
        <f>SUM(E10)</f>
        <v>623270</v>
      </c>
      <c r="IR9" s="252"/>
      <c r="IS9" s="252"/>
    </row>
    <row r="10" spans="1:253" s="495" customFormat="1" ht="34.5" customHeight="1">
      <c r="A10" s="484"/>
      <c r="B10" s="499"/>
      <c r="C10" s="499">
        <v>2540</v>
      </c>
      <c r="D10" s="500" t="s">
        <v>5</v>
      </c>
      <c r="E10" s="501">
        <f>SUM(E11:E14)</f>
        <v>623270</v>
      </c>
      <c r="IR10" s="252"/>
      <c r="IS10" s="252"/>
    </row>
    <row r="11" spans="1:253" s="495" customFormat="1" ht="15" customHeight="1">
      <c r="A11" s="484"/>
      <c r="B11" s="499"/>
      <c r="C11" s="499"/>
      <c r="D11" s="500" t="s">
        <v>6</v>
      </c>
      <c r="E11" s="501">
        <v>44150</v>
      </c>
      <c r="IR11" s="252"/>
      <c r="IS11" s="252"/>
    </row>
    <row r="12" spans="1:253" s="495" customFormat="1" ht="15" customHeight="1">
      <c r="A12" s="484"/>
      <c r="B12" s="499"/>
      <c r="C12" s="499" t="s">
        <v>7</v>
      </c>
      <c r="D12" s="500" t="s">
        <v>8</v>
      </c>
      <c r="E12" s="501">
        <v>29520</v>
      </c>
      <c r="IR12" s="252"/>
      <c r="IS12" s="252"/>
    </row>
    <row r="13" spans="1:253" s="495" customFormat="1" ht="15" customHeight="1">
      <c r="A13" s="484"/>
      <c r="B13" s="499"/>
      <c r="C13" s="499"/>
      <c r="D13" s="500" t="s">
        <v>9</v>
      </c>
      <c r="E13" s="501">
        <v>384000</v>
      </c>
      <c r="IR13" s="252"/>
      <c r="IS13" s="252"/>
    </row>
    <row r="14" spans="1:253" s="495" customFormat="1" ht="15" customHeight="1">
      <c r="A14" s="484"/>
      <c r="B14" s="496"/>
      <c r="C14" s="499"/>
      <c r="D14" s="500" t="s">
        <v>10</v>
      </c>
      <c r="E14" s="501">
        <v>165600</v>
      </c>
      <c r="IR14" s="252"/>
      <c r="IS14" s="252"/>
    </row>
    <row r="15" spans="1:253" s="502" customFormat="1" ht="15" customHeight="1">
      <c r="A15" s="768" t="s">
        <v>289</v>
      </c>
      <c r="B15" s="768"/>
      <c r="C15" s="768"/>
      <c r="D15" s="768"/>
      <c r="E15" s="490">
        <f>E8</f>
        <v>623270</v>
      </c>
      <c r="IR15" s="252"/>
      <c r="IS15" s="252"/>
    </row>
    <row r="16" spans="1:5" s="252" customFormat="1" ht="15.75">
      <c r="A16" s="251"/>
      <c r="B16" s="253"/>
      <c r="C16" s="253"/>
      <c r="D16" s="503"/>
      <c r="E16" s="503"/>
    </row>
  </sheetData>
  <mergeCells count="4">
    <mergeCell ref="A1:E1"/>
    <mergeCell ref="A3:E3"/>
    <mergeCell ref="A4:E4"/>
    <mergeCell ref="A15:D15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  <colBreaks count="1" manualBreakCount="1">
    <brk id="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S20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2.75"/>
  <cols>
    <col min="1" max="1" width="6.75390625" style="468" customWidth="1"/>
    <col min="2" max="2" width="9.25390625" style="469" customWidth="1"/>
    <col min="3" max="3" width="8.75390625" style="469" customWidth="1"/>
    <col min="4" max="4" width="52.125" style="470" customWidth="1"/>
    <col min="5" max="5" width="12.75390625" style="470" customWidth="1"/>
    <col min="6" max="251" width="11.625" style="471" customWidth="1"/>
    <col min="252" max="16384" width="11.625" style="472" customWidth="1"/>
  </cols>
  <sheetData>
    <row r="1" spans="1:7" ht="23.25" customHeight="1">
      <c r="A1" s="763" t="s">
        <v>11</v>
      </c>
      <c r="B1" s="763"/>
      <c r="C1" s="763"/>
      <c r="D1" s="763"/>
      <c r="E1" s="763"/>
      <c r="F1" s="472"/>
      <c r="G1" s="472"/>
    </row>
    <row r="2" spans="1:7" ht="50.25" customHeight="1">
      <c r="A2" s="821" t="s">
        <v>12</v>
      </c>
      <c r="B2" s="821"/>
      <c r="C2" s="821"/>
      <c r="D2" s="821"/>
      <c r="E2" s="821"/>
      <c r="F2" s="472"/>
      <c r="G2" s="472"/>
    </row>
    <row r="3" spans="1:5" ht="19.5" customHeight="1">
      <c r="A3" s="818"/>
      <c r="B3" s="818"/>
      <c r="C3" s="818"/>
      <c r="D3" s="818"/>
      <c r="E3" s="818"/>
    </row>
    <row r="4" spans="1:6" ht="12" customHeight="1">
      <c r="A4" s="474"/>
      <c r="B4" s="474"/>
      <c r="C4" s="474"/>
      <c r="D4" s="474"/>
      <c r="E4" s="475" t="s">
        <v>274</v>
      </c>
      <c r="F4" s="476"/>
    </row>
    <row r="5" spans="1:253" s="147" customFormat="1" ht="39.75" customHeight="1">
      <c r="A5" s="477" t="s">
        <v>275</v>
      </c>
      <c r="B5" s="224" t="s">
        <v>296</v>
      </c>
      <c r="C5" s="224" t="s">
        <v>297</v>
      </c>
      <c r="D5" s="504" t="s">
        <v>13</v>
      </c>
      <c r="E5" s="478" t="s">
        <v>438</v>
      </c>
      <c r="IR5" s="443"/>
      <c r="IS5" s="443"/>
    </row>
    <row r="6" spans="1:253" s="147" customFormat="1" ht="15.75">
      <c r="A6" s="364">
        <v>600</v>
      </c>
      <c r="B6" s="364"/>
      <c r="C6" s="364"/>
      <c r="D6" s="365" t="s">
        <v>309</v>
      </c>
      <c r="E6" s="366">
        <f>E9+E7</f>
        <v>4881295</v>
      </c>
      <c r="IR6" s="443"/>
      <c r="IS6" s="443"/>
    </row>
    <row r="7" spans="1:253" s="147" customFormat="1" ht="15.75">
      <c r="A7" s="170"/>
      <c r="B7" s="170">
        <v>60013</v>
      </c>
      <c r="C7" s="170"/>
      <c r="D7" s="171" t="s">
        <v>483</v>
      </c>
      <c r="E7" s="172">
        <f>E8</f>
        <v>2881295</v>
      </c>
      <c r="IR7" s="443"/>
      <c r="IS7" s="443"/>
    </row>
    <row r="8" spans="1:253" s="147" customFormat="1" ht="63">
      <c r="A8" s="416"/>
      <c r="B8" s="505"/>
      <c r="C8" s="505">
        <v>6630</v>
      </c>
      <c r="D8" s="506" t="s">
        <v>484</v>
      </c>
      <c r="E8" s="507">
        <f>'zał 11'!E16</f>
        <v>2881295</v>
      </c>
      <c r="IR8" s="443"/>
      <c r="IS8" s="443"/>
    </row>
    <row r="9" spans="1:253" s="147" customFormat="1" ht="15.75">
      <c r="A9" s="416"/>
      <c r="B9" s="416">
        <v>60016</v>
      </c>
      <c r="C9" s="416"/>
      <c r="D9" s="417" t="s">
        <v>310</v>
      </c>
      <c r="E9" s="273">
        <f>SUM(E10:E11)</f>
        <v>2000000</v>
      </c>
      <c r="IR9" s="443"/>
      <c r="IS9" s="443"/>
    </row>
    <row r="10" spans="1:253" s="147" customFormat="1" ht="63">
      <c r="A10" s="416"/>
      <c r="B10" s="505"/>
      <c r="C10" s="505">
        <v>6628</v>
      </c>
      <c r="D10" s="506" t="s">
        <v>488</v>
      </c>
      <c r="E10" s="279">
        <f>'zał 11'!E28</f>
        <v>978250</v>
      </c>
      <c r="IR10" s="443"/>
      <c r="IS10" s="443"/>
    </row>
    <row r="11" spans="1:253" s="147" customFormat="1" ht="63">
      <c r="A11" s="416"/>
      <c r="B11" s="505"/>
      <c r="C11" s="505">
        <v>6629</v>
      </c>
      <c r="D11" s="506" t="s">
        <v>488</v>
      </c>
      <c r="E11" s="279">
        <f>'zał 11'!E30</f>
        <v>1021750</v>
      </c>
      <c r="IR11" s="443"/>
      <c r="IS11" s="443"/>
    </row>
    <row r="12" spans="1:5" ht="15.75">
      <c r="A12" s="364">
        <v>851</v>
      </c>
      <c r="B12" s="364"/>
      <c r="C12" s="364"/>
      <c r="D12" s="365" t="s">
        <v>590</v>
      </c>
      <c r="E12" s="366">
        <f>E13+E15</f>
        <v>16000</v>
      </c>
    </row>
    <row r="13" spans="1:5" ht="15.75" customHeight="1">
      <c r="A13" s="508"/>
      <c r="B13" s="508">
        <v>85153</v>
      </c>
      <c r="C13" s="508"/>
      <c r="D13" s="509" t="s">
        <v>591</v>
      </c>
      <c r="E13" s="510">
        <f>E14</f>
        <v>10000</v>
      </c>
    </row>
    <row r="14" spans="1:5" ht="31.5">
      <c r="A14" s="511"/>
      <c r="B14" s="511"/>
      <c r="C14" s="511">
        <v>2310</v>
      </c>
      <c r="D14" s="512" t="s">
        <v>14</v>
      </c>
      <c r="E14" s="269">
        <v>10000</v>
      </c>
    </row>
    <row r="15" spans="1:5" ht="15.75">
      <c r="A15" s="508"/>
      <c r="B15" s="508">
        <v>85154</v>
      </c>
      <c r="C15" s="508"/>
      <c r="D15" s="509" t="s">
        <v>595</v>
      </c>
      <c r="E15" s="510">
        <f>E16</f>
        <v>6000</v>
      </c>
    </row>
    <row r="16" spans="1:5" ht="31.5">
      <c r="A16" s="511"/>
      <c r="B16" s="511"/>
      <c r="C16" s="511">
        <v>2310</v>
      </c>
      <c r="D16" s="512" t="s">
        <v>14</v>
      </c>
      <c r="E16" s="269">
        <v>6000</v>
      </c>
    </row>
    <row r="17" spans="1:5" ht="15.75">
      <c r="A17" s="513" t="s">
        <v>288</v>
      </c>
      <c r="B17" s="415"/>
      <c r="C17" s="415"/>
      <c r="D17" s="514" t="s">
        <v>15</v>
      </c>
      <c r="E17" s="515">
        <f>E18</f>
        <v>2800</v>
      </c>
    </row>
    <row r="18" spans="1:5" ht="15.75">
      <c r="A18" s="516"/>
      <c r="B18" s="517">
        <v>92695</v>
      </c>
      <c r="C18" s="518"/>
      <c r="D18" s="519" t="s">
        <v>306</v>
      </c>
      <c r="E18" s="519">
        <f>E19</f>
        <v>2800</v>
      </c>
    </row>
    <row r="19" spans="1:5" ht="47.25">
      <c r="A19" s="516"/>
      <c r="B19" s="517"/>
      <c r="C19" s="518">
        <v>2320</v>
      </c>
      <c r="D19" s="520" t="s">
        <v>16</v>
      </c>
      <c r="E19" s="521">
        <v>2800</v>
      </c>
    </row>
    <row r="20" spans="1:253" s="491" customFormat="1" ht="16.5" customHeight="1">
      <c r="A20" s="822" t="s">
        <v>289</v>
      </c>
      <c r="B20" s="822"/>
      <c r="C20" s="822"/>
      <c r="D20" s="822"/>
      <c r="E20" s="522">
        <f>E12+E17+E6</f>
        <v>4900095</v>
      </c>
      <c r="IR20" s="492"/>
      <c r="IS20" s="492"/>
    </row>
  </sheetData>
  <mergeCells count="4">
    <mergeCell ref="A1:E1"/>
    <mergeCell ref="A2:E2"/>
    <mergeCell ref="A3:E3"/>
    <mergeCell ref="A20:D20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  <colBreaks count="1" manualBreakCount="1">
    <brk id="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S25"/>
  <sheetViews>
    <sheetView showGridLines="0" defaultGridColor="0" view="pageBreakPreview" zoomScale="90" zoomScaleSheetLayoutView="90" colorId="15" workbookViewId="0" topLeftCell="A1">
      <selection activeCell="J22" sqref="J22"/>
    </sheetView>
  </sheetViews>
  <sheetFormatPr defaultColWidth="9.00390625" defaultRowHeight="12.75"/>
  <cols>
    <col min="1" max="1" width="6.75390625" style="251" customWidth="1"/>
    <col min="2" max="2" width="9.25390625" style="253" customWidth="1"/>
    <col min="3" max="3" width="8.75390625" style="253" customWidth="1"/>
    <col min="4" max="4" width="45.75390625" style="503" customWidth="1"/>
    <col min="5" max="5" width="12.75390625" style="503" customWidth="1"/>
    <col min="6" max="16384" width="11.625" style="252" customWidth="1"/>
  </cols>
  <sheetData>
    <row r="1" spans="1:5" ht="23.25" customHeight="1">
      <c r="A1" s="763" t="s">
        <v>17</v>
      </c>
      <c r="B1" s="763"/>
      <c r="C1" s="763"/>
      <c r="D1" s="763"/>
      <c r="E1" s="763"/>
    </row>
    <row r="2" spans="1:5" ht="23.25" customHeight="1">
      <c r="A2" s="823"/>
      <c r="B2" s="823"/>
      <c r="C2" s="823"/>
      <c r="D2" s="823"/>
      <c r="E2" s="823"/>
    </row>
    <row r="3" spans="1:5" ht="63" customHeight="1">
      <c r="A3" s="821" t="s">
        <v>18</v>
      </c>
      <c r="B3" s="821"/>
      <c r="C3" s="821"/>
      <c r="D3" s="821"/>
      <c r="E3" s="821"/>
    </row>
    <row r="4" spans="1:6" ht="12" customHeight="1">
      <c r="A4" s="523"/>
      <c r="B4" s="523"/>
      <c r="C4" s="523"/>
      <c r="D4" s="523"/>
      <c r="E4" s="475" t="s">
        <v>274</v>
      </c>
      <c r="F4" s="524"/>
    </row>
    <row r="5" spans="1:253" s="526" customFormat="1" ht="39.75" customHeight="1">
      <c r="A5" s="525" t="s">
        <v>275</v>
      </c>
      <c r="B5" s="48" t="s">
        <v>296</v>
      </c>
      <c r="C5" s="48" t="s">
        <v>297</v>
      </c>
      <c r="D5" s="463" t="s">
        <v>767</v>
      </c>
      <c r="E5" s="463" t="s">
        <v>438</v>
      </c>
      <c r="IR5" s="105"/>
      <c r="IS5" s="105"/>
    </row>
    <row r="6" spans="1:253" s="495" customFormat="1" ht="15.75" customHeight="1">
      <c r="A6" s="479" t="s">
        <v>284</v>
      </c>
      <c r="B6" s="365"/>
      <c r="C6" s="365"/>
      <c r="D6" s="494" t="s">
        <v>4</v>
      </c>
      <c r="E6" s="366">
        <f>E7</f>
        <v>3000</v>
      </c>
      <c r="IR6" s="252"/>
      <c r="IS6" s="252"/>
    </row>
    <row r="7" spans="1:253" s="495" customFormat="1" ht="15" customHeight="1">
      <c r="A7" s="484"/>
      <c r="B7" s="496">
        <v>80195</v>
      </c>
      <c r="C7" s="499"/>
      <c r="D7" s="497" t="s">
        <v>306</v>
      </c>
      <c r="E7" s="498">
        <f>E8</f>
        <v>3000</v>
      </c>
      <c r="IR7" s="252"/>
      <c r="IS7" s="252"/>
    </row>
    <row r="8" spans="1:253" s="495" customFormat="1" ht="45" customHeight="1">
      <c r="A8" s="484"/>
      <c r="B8" s="496"/>
      <c r="C8" s="499">
        <v>2820</v>
      </c>
      <c r="D8" s="527" t="s">
        <v>19</v>
      </c>
      <c r="E8" s="501">
        <v>3000</v>
      </c>
      <c r="IR8" s="252"/>
      <c r="IS8" s="252"/>
    </row>
    <row r="9" spans="1:5" ht="15.75">
      <c r="A9" s="479" t="s">
        <v>456</v>
      </c>
      <c r="B9" s="365"/>
      <c r="C9" s="365"/>
      <c r="D9" s="481" t="s">
        <v>20</v>
      </c>
      <c r="E9" s="482">
        <f>E10+E13</f>
        <v>90000</v>
      </c>
    </row>
    <row r="10" spans="1:5" ht="15.75" customHeight="1">
      <c r="A10" s="263"/>
      <c r="B10" s="528">
        <v>85153</v>
      </c>
      <c r="C10" s="528"/>
      <c r="D10" s="395" t="s">
        <v>21</v>
      </c>
      <c r="E10" s="395">
        <f>SUM(E11:E12)</f>
        <v>40000</v>
      </c>
    </row>
    <row r="11" spans="1:5" ht="45" customHeight="1">
      <c r="A11" s="267"/>
      <c r="B11" s="528"/>
      <c r="C11" s="529">
        <v>2820</v>
      </c>
      <c r="D11" s="527" t="s">
        <v>22</v>
      </c>
      <c r="E11" s="530">
        <v>20000</v>
      </c>
    </row>
    <row r="12" spans="1:5" ht="60" customHeight="1">
      <c r="A12" s="267"/>
      <c r="B12" s="528"/>
      <c r="C12" s="529">
        <v>2830</v>
      </c>
      <c r="D12" s="531" t="s">
        <v>596</v>
      </c>
      <c r="E12" s="530">
        <v>20000</v>
      </c>
    </row>
    <row r="13" spans="1:5" ht="15.75" customHeight="1">
      <c r="A13" s="267"/>
      <c r="B13" s="528">
        <v>85154</v>
      </c>
      <c r="C13" s="529"/>
      <c r="D13" s="532" t="s">
        <v>595</v>
      </c>
      <c r="E13" s="395">
        <f>SUM(E14:E15)</f>
        <v>50000</v>
      </c>
    </row>
    <row r="14" spans="1:5" ht="49.5" customHeight="1">
      <c r="A14" s="267"/>
      <c r="B14" s="528"/>
      <c r="C14" s="529">
        <v>2820</v>
      </c>
      <c r="D14" s="527" t="s">
        <v>22</v>
      </c>
      <c r="E14" s="530">
        <v>20000</v>
      </c>
    </row>
    <row r="15" spans="1:5" ht="60" customHeight="1">
      <c r="A15" s="267"/>
      <c r="B15" s="528"/>
      <c r="C15" s="529">
        <v>2830</v>
      </c>
      <c r="D15" s="531" t="s">
        <v>596</v>
      </c>
      <c r="E15" s="530">
        <v>30000</v>
      </c>
    </row>
    <row r="16" spans="1:5" ht="15.75">
      <c r="A16" s="64">
        <v>852</v>
      </c>
      <c r="B16" s="64"/>
      <c r="C16" s="64"/>
      <c r="D16" s="64" t="s">
        <v>440</v>
      </c>
      <c r="E16" s="93">
        <f>E30+E33+E41+E62+E74+E17+E28+E39</f>
        <v>12600</v>
      </c>
    </row>
    <row r="17" spans="1:6" ht="15.75">
      <c r="A17" s="94"/>
      <c r="B17" s="94">
        <v>85295</v>
      </c>
      <c r="C17" s="94"/>
      <c r="D17" s="167" t="s">
        <v>306</v>
      </c>
      <c r="E17" s="88">
        <f>E18</f>
        <v>12600</v>
      </c>
      <c r="F17" s="533"/>
    </row>
    <row r="18" spans="1:6" ht="47.25">
      <c r="A18" s="94"/>
      <c r="B18" s="94"/>
      <c r="C18" s="95">
        <v>2820</v>
      </c>
      <c r="D18" s="1" t="s">
        <v>612</v>
      </c>
      <c r="E18" s="96">
        <v>12600</v>
      </c>
      <c r="F18" s="534"/>
    </row>
    <row r="19" spans="1:6" ht="15.75">
      <c r="A19" s="479" t="s">
        <v>287</v>
      </c>
      <c r="B19" s="480"/>
      <c r="C19" s="480"/>
      <c r="D19" s="481" t="s">
        <v>768</v>
      </c>
      <c r="E19" s="482">
        <f>E20</f>
        <v>52000</v>
      </c>
      <c r="F19" s="535"/>
    </row>
    <row r="20" spans="1:5" ht="15.75">
      <c r="A20" s="267"/>
      <c r="B20" s="528">
        <v>92195</v>
      </c>
      <c r="C20" s="529"/>
      <c r="D20" s="395" t="s">
        <v>306</v>
      </c>
      <c r="E20" s="395">
        <f>E21</f>
        <v>52000</v>
      </c>
    </row>
    <row r="21" spans="1:5" ht="47.25">
      <c r="A21" s="267"/>
      <c r="B21" s="529"/>
      <c r="C21" s="529">
        <v>2820</v>
      </c>
      <c r="D21" s="527" t="s">
        <v>19</v>
      </c>
      <c r="E21" s="527">
        <v>52000</v>
      </c>
    </row>
    <row r="22" spans="1:5" ht="15.75">
      <c r="A22" s="479" t="s">
        <v>288</v>
      </c>
      <c r="B22" s="365"/>
      <c r="C22" s="365"/>
      <c r="D22" s="481" t="s">
        <v>15</v>
      </c>
      <c r="E22" s="482">
        <f>E23</f>
        <v>336200</v>
      </c>
    </row>
    <row r="23" spans="1:5" ht="15.75">
      <c r="A23" s="267"/>
      <c r="B23" s="528">
        <v>92605</v>
      </c>
      <c r="C23" s="529"/>
      <c r="D23" s="395" t="s">
        <v>632</v>
      </c>
      <c r="E23" s="395">
        <f>E24</f>
        <v>336200</v>
      </c>
    </row>
    <row r="24" spans="1:5" ht="47.25">
      <c r="A24" s="267"/>
      <c r="B24" s="528"/>
      <c r="C24" s="529">
        <v>2820</v>
      </c>
      <c r="D24" s="527" t="s">
        <v>22</v>
      </c>
      <c r="E24" s="527">
        <f>332800*0.01+332800+72</f>
        <v>336200</v>
      </c>
    </row>
    <row r="25" spans="1:253" s="502" customFormat="1" ht="15" customHeight="1">
      <c r="A25" s="768" t="s">
        <v>289</v>
      </c>
      <c r="B25" s="768"/>
      <c r="C25" s="768"/>
      <c r="D25" s="768"/>
      <c r="E25" s="490">
        <f>E22+E19+E9+E6+E16</f>
        <v>493800</v>
      </c>
      <c r="IR25" s="252"/>
      <c r="IS25" s="252"/>
    </row>
  </sheetData>
  <mergeCells count="4">
    <mergeCell ref="A1:E1"/>
    <mergeCell ref="A2:E2"/>
    <mergeCell ref="A3:E3"/>
    <mergeCell ref="A25:D25"/>
  </mergeCells>
  <printOptions/>
  <pageMargins left="0.7875" right="0.7875" top="0.7875" bottom="0.9541666666666666" header="0.5118055555555556" footer="0.7875"/>
  <pageSetup horizontalDpi="300" verticalDpi="300" orientation="portrait" paperSize="9" scale="94" r:id="rId1"/>
  <headerFooter alignWithMargins="0">
    <oddFooter>&amp;C&amp;"Times New Roman,Normalny"&amp;12Strona &amp;P z &amp;N</oddFooter>
  </headerFooter>
  <colBreaks count="1" manualBreakCount="1">
    <brk id="5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24"/>
  <sheetViews>
    <sheetView showGridLines="0" defaultGridColor="0" view="pageBreakPreview" zoomScale="90" zoomScaleSheetLayoutView="90" colorId="15" workbookViewId="0" topLeftCell="A1">
      <selection activeCell="A1" sqref="A1:D1"/>
    </sheetView>
  </sheetViews>
  <sheetFormatPr defaultColWidth="9.00390625" defaultRowHeight="12.75"/>
  <cols>
    <col min="1" max="1" width="5.25390625" style="116" customWidth="1"/>
    <col min="2" max="2" width="5.25390625" style="115" customWidth="1"/>
    <col min="3" max="3" width="66.75390625" style="116" customWidth="1"/>
    <col min="4" max="4" width="15.875" style="137" customWidth="1"/>
    <col min="5" max="16384" width="9.125" style="116" customWidth="1"/>
  </cols>
  <sheetData>
    <row r="1" spans="1:4" ht="15" customHeight="1">
      <c r="A1" s="779" t="s">
        <v>23</v>
      </c>
      <c r="B1" s="779"/>
      <c r="C1" s="779"/>
      <c r="D1" s="779"/>
    </row>
    <row r="2" spans="1:11" ht="63.75" customHeight="1">
      <c r="A2" s="752" t="s">
        <v>24</v>
      </c>
      <c r="B2" s="752"/>
      <c r="C2" s="752"/>
      <c r="D2" s="752"/>
      <c r="E2" s="536"/>
      <c r="F2" s="536"/>
      <c r="G2" s="536"/>
      <c r="H2" s="537"/>
      <c r="I2" s="536"/>
      <c r="J2" s="536"/>
      <c r="K2" s="536"/>
    </row>
    <row r="3" spans="1:4" ht="18" customHeight="1">
      <c r="A3" s="313"/>
      <c r="B3" s="538"/>
      <c r="C3" s="313"/>
      <c r="D3" s="539"/>
    </row>
    <row r="4" spans="1:4" ht="18" customHeight="1">
      <c r="A4" s="540" t="s">
        <v>25</v>
      </c>
      <c r="B4" s="541"/>
      <c r="C4" s="542"/>
      <c r="D4" s="543"/>
    </row>
    <row r="5" spans="1:9" ht="18" customHeight="1">
      <c r="A5" s="824" t="s">
        <v>26</v>
      </c>
      <c r="B5" s="824"/>
      <c r="C5" s="824"/>
      <c r="D5" s="544" t="s">
        <v>274</v>
      </c>
      <c r="E5" s="545"/>
      <c r="F5" s="545"/>
      <c r="G5" s="545"/>
      <c r="H5" s="545"/>
      <c r="I5" s="545"/>
    </row>
    <row r="6" spans="1:9" s="105" customFormat="1" ht="32.25" customHeight="1">
      <c r="A6" s="461" t="s">
        <v>27</v>
      </c>
      <c r="B6" s="525" t="s">
        <v>297</v>
      </c>
      <c r="C6" s="461" t="s">
        <v>744</v>
      </c>
      <c r="D6" s="462" t="s">
        <v>463</v>
      </c>
      <c r="E6" s="49"/>
      <c r="F6" s="49"/>
      <c r="G6" s="49"/>
      <c r="H6" s="49"/>
      <c r="I6" s="49"/>
    </row>
    <row r="7" spans="1:9" ht="18" customHeight="1">
      <c r="A7" s="170" t="s">
        <v>28</v>
      </c>
      <c r="B7" s="546" t="s">
        <v>757</v>
      </c>
      <c r="C7" s="547" t="s">
        <v>745</v>
      </c>
      <c r="D7" s="232">
        <v>16000</v>
      </c>
      <c r="E7" s="545"/>
      <c r="F7" s="545"/>
      <c r="G7" s="545"/>
      <c r="H7" s="545"/>
      <c r="I7" s="545"/>
    </row>
    <row r="8" spans="1:9" ht="18" customHeight="1">
      <c r="A8" s="170" t="s">
        <v>29</v>
      </c>
      <c r="B8" s="546" t="s">
        <v>757</v>
      </c>
      <c r="C8" s="547" t="s">
        <v>746</v>
      </c>
      <c r="D8" s="232">
        <f>SUM(D9:D11)</f>
        <v>85500</v>
      </c>
      <c r="E8" s="545"/>
      <c r="F8" s="545"/>
      <c r="G8" s="545"/>
      <c r="H8" s="545"/>
      <c r="I8" s="545"/>
    </row>
    <row r="9" spans="1:9" ht="18" customHeight="1">
      <c r="A9" s="193" t="s">
        <v>30</v>
      </c>
      <c r="B9" s="68" t="s">
        <v>334</v>
      </c>
      <c r="C9" s="548" t="s">
        <v>31</v>
      </c>
      <c r="D9" s="70">
        <v>2000</v>
      </c>
      <c r="E9" s="545"/>
      <c r="F9" s="545"/>
      <c r="G9" s="545"/>
      <c r="H9" s="545"/>
      <c r="I9" s="545"/>
    </row>
    <row r="10" spans="1:9" ht="18" customHeight="1">
      <c r="A10" s="193" t="s">
        <v>32</v>
      </c>
      <c r="B10" s="68" t="s">
        <v>361</v>
      </c>
      <c r="C10" s="548" t="s">
        <v>373</v>
      </c>
      <c r="D10" s="70">
        <v>83000</v>
      </c>
      <c r="E10" s="545"/>
      <c r="F10" s="545"/>
      <c r="G10" s="545"/>
      <c r="H10" s="545"/>
      <c r="I10" s="545"/>
    </row>
    <row r="11" spans="1:9" ht="18" customHeight="1">
      <c r="A11" s="193" t="s">
        <v>33</v>
      </c>
      <c r="B11" s="68" t="s">
        <v>697</v>
      </c>
      <c r="C11" s="548" t="s">
        <v>698</v>
      </c>
      <c r="D11" s="70">
        <v>500</v>
      </c>
      <c r="E11" s="545"/>
      <c r="F11" s="545"/>
      <c r="G11" s="545"/>
      <c r="H11" s="545"/>
      <c r="I11" s="545"/>
    </row>
    <row r="12" spans="1:9" ht="18" customHeight="1">
      <c r="A12" s="170" t="s">
        <v>34</v>
      </c>
      <c r="B12" s="546" t="s">
        <v>757</v>
      </c>
      <c r="C12" s="547" t="s">
        <v>747</v>
      </c>
      <c r="D12" s="232">
        <f>D13</f>
        <v>101500</v>
      </c>
      <c r="E12" s="545"/>
      <c r="F12" s="545"/>
      <c r="G12" s="545"/>
      <c r="H12" s="545"/>
      <c r="I12" s="545"/>
    </row>
    <row r="13" spans="1:9" ht="18" customHeight="1">
      <c r="A13" s="193" t="s">
        <v>30</v>
      </c>
      <c r="B13" s="68" t="s">
        <v>757</v>
      </c>
      <c r="C13" s="548" t="s">
        <v>290</v>
      </c>
      <c r="D13" s="70">
        <f>D14+D16+D17+D15</f>
        <v>101500</v>
      </c>
      <c r="E13" s="545"/>
      <c r="F13" s="545"/>
      <c r="G13" s="545"/>
      <c r="H13" s="545"/>
      <c r="I13" s="545"/>
    </row>
    <row r="14" spans="1:9" ht="18" customHeight="1">
      <c r="A14" s="193"/>
      <c r="B14" s="68" t="s">
        <v>35</v>
      </c>
      <c r="C14" s="69" t="s">
        <v>555</v>
      </c>
      <c r="D14" s="70">
        <f>'zał 29'!D13+'zał 29'!D17</f>
        <v>14500</v>
      </c>
      <c r="E14" s="545"/>
      <c r="F14" s="545"/>
      <c r="G14" s="545"/>
      <c r="H14" s="545"/>
      <c r="I14" s="545"/>
    </row>
    <row r="15" spans="1:9" ht="18" customHeight="1">
      <c r="A15" s="193"/>
      <c r="B15" s="68" t="s">
        <v>36</v>
      </c>
      <c r="C15" s="69" t="s">
        <v>567</v>
      </c>
      <c r="D15" s="70">
        <v>3000</v>
      </c>
      <c r="E15" s="545"/>
      <c r="F15" s="545"/>
      <c r="G15" s="545"/>
      <c r="H15" s="545"/>
      <c r="I15" s="545"/>
    </row>
    <row r="16" spans="1:9" ht="18" customHeight="1">
      <c r="A16" s="193"/>
      <c r="B16" s="68" t="s">
        <v>37</v>
      </c>
      <c r="C16" s="548" t="s">
        <v>569</v>
      </c>
      <c r="D16" s="70">
        <f>'zał 29'!D15+'zał 29'!D16+'zał 29'!D18+'zał 29'!D19+'zał 29'!D22-3000+'zał 29'!D23</f>
        <v>68000</v>
      </c>
      <c r="E16" s="545"/>
      <c r="F16" s="545"/>
      <c r="G16" s="545"/>
      <c r="H16" s="545"/>
      <c r="I16" s="545"/>
    </row>
    <row r="17" spans="1:9" ht="18" customHeight="1">
      <c r="A17" s="193"/>
      <c r="B17" s="68" t="s">
        <v>38</v>
      </c>
      <c r="C17" s="548" t="s">
        <v>573</v>
      </c>
      <c r="D17" s="70">
        <f>'zał 29'!D20</f>
        <v>16000</v>
      </c>
      <c r="E17" s="545"/>
      <c r="F17" s="545"/>
      <c r="G17" s="545"/>
      <c r="H17" s="545"/>
      <c r="I17" s="545"/>
    </row>
    <row r="18" spans="1:9" ht="18" customHeight="1">
      <c r="A18" s="170" t="s">
        <v>39</v>
      </c>
      <c r="B18" s="546" t="s">
        <v>757</v>
      </c>
      <c r="C18" s="547" t="s">
        <v>748</v>
      </c>
      <c r="D18" s="232">
        <f>D7+D8-D12</f>
        <v>0</v>
      </c>
      <c r="E18" s="545"/>
      <c r="F18" s="545"/>
      <c r="G18" s="545"/>
      <c r="H18" s="545"/>
      <c r="I18" s="545"/>
    </row>
    <row r="19" spans="1:9" ht="18" customHeight="1">
      <c r="A19" s="545"/>
      <c r="B19" s="549"/>
      <c r="C19" s="545"/>
      <c r="E19" s="545"/>
      <c r="F19" s="545"/>
      <c r="G19" s="545"/>
      <c r="H19" s="545"/>
      <c r="I19" s="545"/>
    </row>
    <row r="20" spans="1:9" ht="15.75">
      <c r="A20" s="545"/>
      <c r="B20" s="549"/>
      <c r="C20" s="545"/>
      <c r="E20" s="545"/>
      <c r="F20" s="545"/>
      <c r="G20" s="545"/>
      <c r="H20" s="545"/>
      <c r="I20" s="545"/>
    </row>
    <row r="21" spans="1:9" ht="15.75">
      <c r="A21" s="545"/>
      <c r="B21" s="549"/>
      <c r="C21" s="545"/>
      <c r="E21" s="545"/>
      <c r="F21" s="545"/>
      <c r="G21" s="545"/>
      <c r="H21" s="545"/>
      <c r="I21" s="545"/>
    </row>
    <row r="22" spans="1:9" ht="15.75">
      <c r="A22" s="545"/>
      <c r="B22" s="549"/>
      <c r="C22" s="545"/>
      <c r="E22" s="545"/>
      <c r="F22" s="545"/>
      <c r="G22" s="545"/>
      <c r="H22" s="545"/>
      <c r="I22" s="545"/>
    </row>
    <row r="23" spans="1:9" ht="15.75">
      <c r="A23" s="545"/>
      <c r="B23" s="549"/>
      <c r="C23" s="545"/>
      <c r="E23" s="545"/>
      <c r="F23" s="545"/>
      <c r="G23" s="545"/>
      <c r="H23" s="545"/>
      <c r="I23" s="545"/>
    </row>
    <row r="24" spans="1:9" ht="15.75">
      <c r="A24" s="545"/>
      <c r="B24" s="549"/>
      <c r="C24" s="545"/>
      <c r="E24" s="545"/>
      <c r="F24" s="545"/>
      <c r="G24" s="545"/>
      <c r="H24" s="545"/>
      <c r="I24" s="545"/>
    </row>
  </sheetData>
  <mergeCells count="3">
    <mergeCell ref="A1:D1"/>
    <mergeCell ref="A2:D2"/>
    <mergeCell ref="A5:C5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portrait" paperSize="9" scale="95" r:id="rId1"/>
  <headerFooter alignWithMargins="0"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showGridLines="0" defaultGridColor="0" view="pageBreakPreview" zoomScale="90" zoomScaleSheetLayoutView="90" colorId="15" workbookViewId="0" topLeftCell="A115">
      <selection activeCell="E124" sqref="E124"/>
    </sheetView>
  </sheetViews>
  <sheetFormatPr defaultColWidth="9.00390625" defaultRowHeight="12.75"/>
  <cols>
    <col min="1" max="1" width="6.00390625" style="41" customWidth="1"/>
    <col min="2" max="2" width="8.625" style="42" customWidth="1"/>
    <col min="3" max="3" width="6.00390625" style="43" customWidth="1"/>
    <col min="4" max="4" width="87.25390625" style="3" customWidth="1"/>
    <col min="5" max="5" width="12.75390625" style="44" customWidth="1"/>
    <col min="6" max="6" width="13.875" style="44" customWidth="1"/>
    <col min="7" max="7" width="12.125" style="44" customWidth="1"/>
    <col min="8" max="8" width="9.00390625" style="42" customWidth="1"/>
    <col min="9" max="9" width="16.875" style="42" customWidth="1"/>
    <col min="10" max="16384" width="9.00390625" style="42" customWidth="1"/>
  </cols>
  <sheetData>
    <row r="1" spans="4:7" ht="15" customHeight="1">
      <c r="D1" s="718" t="s">
        <v>293</v>
      </c>
      <c r="E1" s="718"/>
      <c r="F1" s="718"/>
      <c r="G1" s="718"/>
    </row>
    <row r="2" spans="1:7" ht="43.5" customHeight="1">
      <c r="A2" s="719" t="s">
        <v>294</v>
      </c>
      <c r="B2" s="719"/>
      <c r="C2" s="719"/>
      <c r="D2" s="719"/>
      <c r="E2" s="719"/>
      <c r="F2" s="719"/>
      <c r="G2" s="719"/>
    </row>
    <row r="3" spans="1:7" ht="15.75" customHeight="1">
      <c r="A3" s="720" t="s">
        <v>295</v>
      </c>
      <c r="B3" s="720"/>
      <c r="C3" s="720"/>
      <c r="D3" s="45"/>
      <c r="E3" s="46"/>
      <c r="F3" s="46"/>
      <c r="G3" s="47" t="s">
        <v>274</v>
      </c>
    </row>
    <row r="4" spans="1:7" s="49" customFormat="1" ht="13.5" customHeight="1">
      <c r="A4" s="721" t="s">
        <v>275</v>
      </c>
      <c r="B4" s="722" t="s">
        <v>296</v>
      </c>
      <c r="C4" s="722" t="s">
        <v>297</v>
      </c>
      <c r="D4" s="722" t="s">
        <v>298</v>
      </c>
      <c r="E4" s="722" t="s">
        <v>299</v>
      </c>
      <c r="F4" s="722" t="s">
        <v>300</v>
      </c>
      <c r="G4" s="722"/>
    </row>
    <row r="5" spans="1:7" s="50" customFormat="1" ht="25.5">
      <c r="A5" s="721"/>
      <c r="B5" s="722"/>
      <c r="C5" s="722"/>
      <c r="D5" s="722"/>
      <c r="E5" s="722"/>
      <c r="F5" s="48" t="s">
        <v>301</v>
      </c>
      <c r="G5" s="48" t="s">
        <v>302</v>
      </c>
    </row>
    <row r="6" spans="1:7" s="43" customFormat="1" ht="15.7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</row>
    <row r="7" spans="1:7" ht="15.75">
      <c r="A7" s="53" t="s">
        <v>303</v>
      </c>
      <c r="B7" s="53"/>
      <c r="C7" s="53"/>
      <c r="D7" s="54" t="s">
        <v>304</v>
      </c>
      <c r="E7" s="55">
        <f aca="true" t="shared" si="0" ref="E7:G8">E8</f>
        <v>7300</v>
      </c>
      <c r="F7" s="55">
        <f t="shared" si="0"/>
        <v>7300</v>
      </c>
      <c r="G7" s="55">
        <f t="shared" si="0"/>
        <v>0</v>
      </c>
    </row>
    <row r="8" spans="1:7" ht="15.75">
      <c r="A8" s="56"/>
      <c r="B8" s="56" t="s">
        <v>305</v>
      </c>
      <c r="C8" s="56"/>
      <c r="D8" s="57" t="s">
        <v>306</v>
      </c>
      <c r="E8" s="58">
        <f t="shared" si="0"/>
        <v>7300</v>
      </c>
      <c r="F8" s="58">
        <f t="shared" si="0"/>
        <v>7300</v>
      </c>
      <c r="G8" s="58">
        <f t="shared" si="0"/>
        <v>0</v>
      </c>
    </row>
    <row r="9" spans="1:7" ht="47.25">
      <c r="A9" s="56"/>
      <c r="B9" s="59"/>
      <c r="C9" s="59" t="s">
        <v>307</v>
      </c>
      <c r="D9" s="60" t="s">
        <v>308</v>
      </c>
      <c r="E9" s="61">
        <f>F9+G9</f>
        <v>7300</v>
      </c>
      <c r="F9" s="61">
        <v>7300</v>
      </c>
      <c r="G9" s="62"/>
    </row>
    <row r="10" spans="1:7" ht="15.75">
      <c r="A10" s="63">
        <v>600</v>
      </c>
      <c r="B10" s="63"/>
      <c r="C10" s="63"/>
      <c r="D10" s="64" t="s">
        <v>309</v>
      </c>
      <c r="E10" s="55">
        <f>E11</f>
        <v>1668250</v>
      </c>
      <c r="F10" s="55">
        <f>F11</f>
        <v>978250</v>
      </c>
      <c r="G10" s="55">
        <f>G11</f>
        <v>690000</v>
      </c>
    </row>
    <row r="11" spans="1:7" ht="15.75">
      <c r="A11" s="65"/>
      <c r="B11" s="65">
        <v>60016</v>
      </c>
      <c r="C11" s="65"/>
      <c r="D11" s="66" t="s">
        <v>310</v>
      </c>
      <c r="E11" s="58">
        <f>E12+E13</f>
        <v>1668250</v>
      </c>
      <c r="F11" s="58">
        <f>F12+F13</f>
        <v>978250</v>
      </c>
      <c r="G11" s="58">
        <f>G12+G13</f>
        <v>690000</v>
      </c>
    </row>
    <row r="12" spans="1:7" ht="31.5">
      <c r="A12" s="65"/>
      <c r="B12" s="67"/>
      <c r="C12" s="68" t="s">
        <v>311</v>
      </c>
      <c r="D12" s="69" t="s">
        <v>312</v>
      </c>
      <c r="E12" s="61">
        <f>F12+L12</f>
        <v>978250</v>
      </c>
      <c r="F12" s="70">
        <v>978250</v>
      </c>
      <c r="G12" s="71"/>
    </row>
    <row r="13" spans="1:7" ht="31.5">
      <c r="A13" s="65"/>
      <c r="B13" s="67"/>
      <c r="C13" s="68" t="s">
        <v>313</v>
      </c>
      <c r="D13" s="69" t="s">
        <v>314</v>
      </c>
      <c r="E13" s="61">
        <f>G13</f>
        <v>690000</v>
      </c>
      <c r="F13" s="70"/>
      <c r="G13" s="71">
        <v>690000</v>
      </c>
    </row>
    <row r="14" spans="1:7" ht="18.75">
      <c r="A14" s="53">
        <v>700</v>
      </c>
      <c r="B14" s="53"/>
      <c r="C14" s="53"/>
      <c r="D14" s="54" t="s">
        <v>315</v>
      </c>
      <c r="E14" s="55">
        <f>E15</f>
        <v>2328530</v>
      </c>
      <c r="F14" s="55">
        <f>F15</f>
        <v>563530</v>
      </c>
      <c r="G14" s="55">
        <f>G15</f>
        <v>1765000</v>
      </c>
    </row>
    <row r="15" spans="1:7" ht="15.75">
      <c r="A15" s="56"/>
      <c r="B15" s="56">
        <v>70005</v>
      </c>
      <c r="C15" s="56"/>
      <c r="D15" s="57" t="s">
        <v>316</v>
      </c>
      <c r="E15" s="58">
        <f>E16+E17+E18+E19+E20</f>
        <v>2328530</v>
      </c>
      <c r="F15" s="58">
        <f>F16+F17+F18+F19+F20</f>
        <v>563530</v>
      </c>
      <c r="G15" s="58">
        <f>G16+G17+G18+G19+G20</f>
        <v>1765000</v>
      </c>
    </row>
    <row r="16" spans="1:7" ht="15.75">
      <c r="A16" s="56"/>
      <c r="B16" s="59"/>
      <c r="C16" s="59" t="s">
        <v>317</v>
      </c>
      <c r="D16" s="60" t="s">
        <v>318</v>
      </c>
      <c r="E16" s="61">
        <f>F16+G16</f>
        <v>170050</v>
      </c>
      <c r="F16" s="61">
        <v>170050</v>
      </c>
      <c r="G16" s="62"/>
    </row>
    <row r="17" spans="1:7" ht="47.25">
      <c r="A17" s="56"/>
      <c r="B17" s="59"/>
      <c r="C17" s="59" t="s">
        <v>307</v>
      </c>
      <c r="D17" s="60" t="s">
        <v>319</v>
      </c>
      <c r="E17" s="61">
        <f>F17+G17</f>
        <v>383480</v>
      </c>
      <c r="F17" s="61">
        <v>383480</v>
      </c>
      <c r="G17" s="62"/>
    </row>
    <row r="18" spans="1:7" ht="31.5">
      <c r="A18" s="56"/>
      <c r="B18" s="59"/>
      <c r="C18" s="59" t="s">
        <v>320</v>
      </c>
      <c r="D18" s="60" t="s">
        <v>321</v>
      </c>
      <c r="E18" s="61">
        <f>F18+G18</f>
        <v>50000</v>
      </c>
      <c r="F18" s="61"/>
      <c r="G18" s="61">
        <v>50000</v>
      </c>
    </row>
    <row r="19" spans="1:7" ht="31.5">
      <c r="A19" s="56"/>
      <c r="B19" s="59"/>
      <c r="C19" s="59" t="s">
        <v>322</v>
      </c>
      <c r="D19" s="60" t="s">
        <v>323</v>
      </c>
      <c r="E19" s="61">
        <f>F19+G19</f>
        <v>1715000</v>
      </c>
      <c r="F19" s="61"/>
      <c r="G19" s="61">
        <f>200000+50000+15000+1200000+250000</f>
        <v>1715000</v>
      </c>
    </row>
    <row r="20" spans="1:7" ht="24.75" customHeight="1">
      <c r="A20" s="59"/>
      <c r="B20" s="59"/>
      <c r="C20" s="59" t="s">
        <v>324</v>
      </c>
      <c r="D20" s="60" t="s">
        <v>325</v>
      </c>
      <c r="E20" s="61">
        <f>F20+G20</f>
        <v>10000</v>
      </c>
      <c r="F20" s="61">
        <v>10000</v>
      </c>
      <c r="G20" s="62"/>
    </row>
    <row r="21" spans="1:7" ht="15.75">
      <c r="A21" s="72"/>
      <c r="B21" s="73"/>
      <c r="C21" s="74"/>
      <c r="D21" s="75"/>
      <c r="E21" s="76"/>
      <c r="F21" s="76"/>
      <c r="G21" s="77"/>
    </row>
    <row r="22" spans="1:7" ht="15" customHeight="1">
      <c r="A22" s="723" t="s">
        <v>326</v>
      </c>
      <c r="B22" s="723"/>
      <c r="C22" s="723"/>
      <c r="D22" s="723"/>
      <c r="E22" s="723"/>
      <c r="F22" s="723"/>
      <c r="G22" s="723"/>
    </row>
    <row r="23" spans="1:7" ht="15.75">
      <c r="A23" s="53">
        <v>710</v>
      </c>
      <c r="B23" s="53"/>
      <c r="C23" s="53"/>
      <c r="D23" s="54" t="s">
        <v>327</v>
      </c>
      <c r="E23" s="55">
        <f>E24</f>
        <v>80500</v>
      </c>
      <c r="F23" s="55">
        <f>F24</f>
        <v>80500</v>
      </c>
      <c r="G23" s="55">
        <f>G24</f>
        <v>0</v>
      </c>
    </row>
    <row r="24" spans="1:7" ht="15.75">
      <c r="A24" s="56"/>
      <c r="B24" s="56">
        <v>71035</v>
      </c>
      <c r="C24" s="56"/>
      <c r="D24" s="57" t="s">
        <v>328</v>
      </c>
      <c r="E24" s="58">
        <f>E25+E26</f>
        <v>80500</v>
      </c>
      <c r="F24" s="58">
        <f>F25+F26</f>
        <v>80500</v>
      </c>
      <c r="G24" s="58">
        <f>G25</f>
        <v>0</v>
      </c>
    </row>
    <row r="25" spans="1:7" ht="63">
      <c r="A25" s="56"/>
      <c r="B25" s="59"/>
      <c r="C25" s="59" t="s">
        <v>307</v>
      </c>
      <c r="D25" s="60" t="s">
        <v>329</v>
      </c>
      <c r="E25" s="61">
        <f>F25</f>
        <v>40500</v>
      </c>
      <c r="F25" s="61">
        <v>40500</v>
      </c>
      <c r="G25" s="62"/>
    </row>
    <row r="26" spans="1:7" ht="31.5">
      <c r="A26" s="56"/>
      <c r="B26" s="59"/>
      <c r="C26" s="68" t="s">
        <v>311</v>
      </c>
      <c r="D26" s="69" t="s">
        <v>312</v>
      </c>
      <c r="E26" s="61">
        <f>F26</f>
        <v>40000</v>
      </c>
      <c r="F26" s="61">
        <v>40000</v>
      </c>
      <c r="G26" s="62"/>
    </row>
    <row r="27" spans="1:7" ht="15.75">
      <c r="A27" s="53">
        <v>750</v>
      </c>
      <c r="B27" s="53"/>
      <c r="C27" s="53"/>
      <c r="D27" s="54" t="s">
        <v>330</v>
      </c>
      <c r="E27" s="55">
        <f>E28+E30</f>
        <v>71700</v>
      </c>
      <c r="F27" s="55">
        <f>F28+F30</f>
        <v>71700</v>
      </c>
      <c r="G27" s="55">
        <f>G28+G30</f>
        <v>0</v>
      </c>
    </row>
    <row r="28" spans="1:7" ht="15.75">
      <c r="A28" s="56"/>
      <c r="B28" s="56">
        <v>75011</v>
      </c>
      <c r="C28" s="56"/>
      <c r="D28" s="57" t="s">
        <v>331</v>
      </c>
      <c r="E28" s="58">
        <f>E29</f>
        <v>1500</v>
      </c>
      <c r="F28" s="58">
        <f>F29</f>
        <v>1500</v>
      </c>
      <c r="G28" s="58">
        <f>G29</f>
        <v>0</v>
      </c>
    </row>
    <row r="29" spans="1:7" ht="31.5">
      <c r="A29" s="56"/>
      <c r="B29" s="59"/>
      <c r="C29" s="59">
        <v>2360</v>
      </c>
      <c r="D29" s="60" t="s">
        <v>332</v>
      </c>
      <c r="E29" s="61">
        <f>F29</f>
        <v>1500</v>
      </c>
      <c r="F29" s="61">
        <v>1500</v>
      </c>
      <c r="G29" s="62"/>
    </row>
    <row r="30" spans="1:7" ht="15.75">
      <c r="A30" s="56"/>
      <c r="B30" s="56">
        <v>75023</v>
      </c>
      <c r="C30" s="56"/>
      <c r="D30" s="57" t="s">
        <v>333</v>
      </c>
      <c r="E30" s="58">
        <f>E31+E32+E33+E34</f>
        <v>70200</v>
      </c>
      <c r="F30" s="58">
        <f>F31+F32+F33+F34</f>
        <v>70200</v>
      </c>
      <c r="G30" s="58">
        <f>G31+G31+G33+G34</f>
        <v>0</v>
      </c>
    </row>
    <row r="31" spans="1:7" ht="15.75">
      <c r="A31" s="56"/>
      <c r="B31" s="59"/>
      <c r="C31" s="59" t="s">
        <v>334</v>
      </c>
      <c r="D31" s="60" t="s">
        <v>335</v>
      </c>
      <c r="E31" s="61">
        <f>F31</f>
        <v>200</v>
      </c>
      <c r="F31" s="61">
        <v>200</v>
      </c>
      <c r="G31" s="62"/>
    </row>
    <row r="32" spans="1:7" ht="15.75">
      <c r="A32" s="56"/>
      <c r="B32" s="59"/>
      <c r="C32" s="59" t="s">
        <v>336</v>
      </c>
      <c r="D32" s="60" t="s">
        <v>337</v>
      </c>
      <c r="E32" s="61">
        <f>F32</f>
        <v>12000</v>
      </c>
      <c r="F32" s="61">
        <v>12000</v>
      </c>
      <c r="G32" s="62"/>
    </row>
    <row r="33" spans="1:7" ht="15.75">
      <c r="A33" s="56"/>
      <c r="B33" s="59"/>
      <c r="C33" s="59" t="s">
        <v>338</v>
      </c>
      <c r="D33" s="60" t="s">
        <v>339</v>
      </c>
      <c r="E33" s="61">
        <f>F33</f>
        <v>3000</v>
      </c>
      <c r="F33" s="61">
        <v>3000</v>
      </c>
      <c r="G33" s="62"/>
    </row>
    <row r="34" spans="1:7" ht="31.5">
      <c r="A34" s="56"/>
      <c r="B34" s="78" t="s">
        <v>340</v>
      </c>
      <c r="C34" s="79" t="s">
        <v>341</v>
      </c>
      <c r="D34" s="60" t="s">
        <v>342</v>
      </c>
      <c r="E34" s="61">
        <f>F34</f>
        <v>55000</v>
      </c>
      <c r="F34" s="61">
        <v>55000</v>
      </c>
      <c r="G34" s="62"/>
    </row>
    <row r="35" spans="1:7" ht="32.25">
      <c r="A35" s="80" t="s">
        <v>343</v>
      </c>
      <c r="B35" s="53"/>
      <c r="C35" s="53"/>
      <c r="D35" s="54" t="s">
        <v>344</v>
      </c>
      <c r="E35" s="55">
        <f>E36+E39+E60+E65+E67+E70+E49</f>
        <v>18238279</v>
      </c>
      <c r="F35" s="55">
        <f>F36+F39+F60+F65+F67+F70+F49</f>
        <v>18238279</v>
      </c>
      <c r="G35" s="55">
        <f>G36+G39+G60+G65+G67+G70+G49</f>
        <v>0</v>
      </c>
    </row>
    <row r="36" spans="1:7" ht="15.75">
      <c r="A36" s="56"/>
      <c r="B36" s="56">
        <v>75601</v>
      </c>
      <c r="C36" s="56"/>
      <c r="D36" s="57" t="s">
        <v>345</v>
      </c>
      <c r="E36" s="58">
        <f>SUM(E37:E38)</f>
        <v>15300</v>
      </c>
      <c r="F36" s="58">
        <f>SUM(F37:F38)</f>
        <v>15300</v>
      </c>
      <c r="G36" s="58">
        <f>SUM(G37:G38)</f>
        <v>0</v>
      </c>
    </row>
    <row r="37" spans="1:7" ht="15.75">
      <c r="A37" s="56"/>
      <c r="B37" s="59"/>
      <c r="C37" s="59" t="s">
        <v>346</v>
      </c>
      <c r="D37" s="60" t="s">
        <v>347</v>
      </c>
      <c r="E37" s="61">
        <f>F37</f>
        <v>15000</v>
      </c>
      <c r="F37" s="61">
        <v>15000</v>
      </c>
      <c r="G37" s="62"/>
    </row>
    <row r="38" spans="1:7" ht="15.75">
      <c r="A38" s="56"/>
      <c r="B38" s="59"/>
      <c r="C38" s="59" t="s">
        <v>348</v>
      </c>
      <c r="D38" s="60" t="s">
        <v>349</v>
      </c>
      <c r="E38" s="61">
        <f>F38</f>
        <v>300</v>
      </c>
      <c r="F38" s="61">
        <v>300</v>
      </c>
      <c r="G38" s="62"/>
    </row>
    <row r="39" spans="1:7" ht="31.5">
      <c r="A39" s="56"/>
      <c r="B39" s="56">
        <v>75615</v>
      </c>
      <c r="C39" s="56"/>
      <c r="D39" s="57" t="s">
        <v>350</v>
      </c>
      <c r="E39" s="58">
        <f>SUM(E40:E47)</f>
        <v>6652405</v>
      </c>
      <c r="F39" s="58">
        <f>SUM(F40:F47)</f>
        <v>6652405</v>
      </c>
      <c r="G39" s="58">
        <f>SUM(G40:G47)</f>
        <v>0</v>
      </c>
    </row>
    <row r="40" spans="1:7" ht="15.75">
      <c r="A40" s="59"/>
      <c r="B40" s="59"/>
      <c r="C40" s="59" t="s">
        <v>351</v>
      </c>
      <c r="D40" s="60" t="s">
        <v>352</v>
      </c>
      <c r="E40" s="61">
        <f aca="true" t="shared" si="1" ref="E40:E47">F40</f>
        <v>6112000</v>
      </c>
      <c r="F40" s="61">
        <v>6112000</v>
      </c>
      <c r="G40" s="62"/>
    </row>
    <row r="41" spans="1:9" ht="15.75">
      <c r="A41" s="59"/>
      <c r="B41" s="59"/>
      <c r="C41" s="59" t="s">
        <v>353</v>
      </c>
      <c r="D41" s="60" t="s">
        <v>354</v>
      </c>
      <c r="E41" s="61">
        <f t="shared" si="1"/>
        <v>110000</v>
      </c>
      <c r="F41" s="61">
        <v>110000</v>
      </c>
      <c r="G41" s="62"/>
      <c r="I41" s="81"/>
    </row>
    <row r="42" spans="1:7" ht="15.75">
      <c r="A42" s="59"/>
      <c r="B42" s="59"/>
      <c r="C42" s="59" t="s">
        <v>355</v>
      </c>
      <c r="D42" s="60" t="s">
        <v>356</v>
      </c>
      <c r="E42" s="61">
        <f t="shared" si="1"/>
        <v>252136</v>
      </c>
      <c r="F42" s="61">
        <v>252136</v>
      </c>
      <c r="G42" s="62"/>
    </row>
    <row r="43" spans="1:7" ht="15.75">
      <c r="A43" s="82"/>
      <c r="B43" s="59"/>
      <c r="C43" s="59" t="s">
        <v>357</v>
      </c>
      <c r="D43" s="60" t="s">
        <v>358</v>
      </c>
      <c r="E43" s="61">
        <f t="shared" si="1"/>
        <v>143059</v>
      </c>
      <c r="F43" s="61">
        <v>143059</v>
      </c>
      <c r="G43" s="62"/>
    </row>
    <row r="44" spans="1:7" ht="15.75">
      <c r="A44" s="82"/>
      <c r="B44" s="59"/>
      <c r="C44" s="59" t="s">
        <v>359</v>
      </c>
      <c r="D44" s="60" t="s">
        <v>360</v>
      </c>
      <c r="E44" s="61">
        <f t="shared" si="1"/>
        <v>10000</v>
      </c>
      <c r="F44" s="61">
        <v>10000</v>
      </c>
      <c r="G44" s="62"/>
    </row>
    <row r="45" spans="1:7" ht="15.75">
      <c r="A45" s="82"/>
      <c r="B45" s="59"/>
      <c r="C45" s="59" t="s">
        <v>361</v>
      </c>
      <c r="D45" s="60" t="s">
        <v>362</v>
      </c>
      <c r="E45" s="61">
        <f t="shared" si="1"/>
        <v>310</v>
      </c>
      <c r="F45" s="61">
        <v>310</v>
      </c>
      <c r="G45" s="62"/>
    </row>
    <row r="46" spans="1:7" ht="15.75">
      <c r="A46" s="82"/>
      <c r="B46" s="59"/>
      <c r="C46" s="59" t="s">
        <v>348</v>
      </c>
      <c r="D46" s="60" t="s">
        <v>363</v>
      </c>
      <c r="E46" s="61">
        <f t="shared" si="1"/>
        <v>23000</v>
      </c>
      <c r="F46" s="61">
        <v>23000</v>
      </c>
      <c r="G46" s="62"/>
    </row>
    <row r="47" spans="1:7" ht="15.75">
      <c r="A47" s="82"/>
      <c r="B47" s="59"/>
      <c r="C47" s="59">
        <v>2680</v>
      </c>
      <c r="D47" s="60" t="s">
        <v>364</v>
      </c>
      <c r="E47" s="61">
        <f t="shared" si="1"/>
        <v>1900</v>
      </c>
      <c r="F47" s="61">
        <v>1900</v>
      </c>
      <c r="G47" s="62"/>
    </row>
    <row r="48" spans="1:7" ht="15.75">
      <c r="A48" s="723" t="s">
        <v>326</v>
      </c>
      <c r="B48" s="723"/>
      <c r="C48" s="723"/>
      <c r="D48" s="723"/>
      <c r="E48" s="723"/>
      <c r="F48" s="723"/>
      <c r="G48" s="723"/>
    </row>
    <row r="49" spans="1:7" ht="31.5">
      <c r="A49" s="83"/>
      <c r="B49" s="56">
        <v>75616</v>
      </c>
      <c r="C49" s="56"/>
      <c r="D49" s="57" t="s">
        <v>365</v>
      </c>
      <c r="E49" s="58">
        <f>SUM(E50:E59)</f>
        <v>3153442</v>
      </c>
      <c r="F49" s="58">
        <f>SUM(F50:F59)</f>
        <v>3153442</v>
      </c>
      <c r="G49" s="58">
        <f>SUM(G50:G59)</f>
        <v>0</v>
      </c>
    </row>
    <row r="50" spans="1:7" ht="15.75">
      <c r="A50" s="82"/>
      <c r="B50" s="59"/>
      <c r="C50" s="59" t="s">
        <v>351</v>
      </c>
      <c r="D50" s="60" t="s">
        <v>352</v>
      </c>
      <c r="E50" s="61">
        <f aca="true" t="shared" si="2" ref="E50:E59">F50</f>
        <v>1580650</v>
      </c>
      <c r="F50" s="61">
        <v>1580650</v>
      </c>
      <c r="G50" s="62"/>
    </row>
    <row r="51" spans="1:7" ht="15.75">
      <c r="A51" s="82"/>
      <c r="B51" s="59"/>
      <c r="C51" s="59" t="s">
        <v>353</v>
      </c>
      <c r="D51" s="60" t="s">
        <v>354</v>
      </c>
      <c r="E51" s="61">
        <f t="shared" si="2"/>
        <v>552204</v>
      </c>
      <c r="F51" s="61">
        <v>552204</v>
      </c>
      <c r="G51" s="62"/>
    </row>
    <row r="52" spans="1:7" ht="15.75">
      <c r="A52" s="82"/>
      <c r="B52" s="59"/>
      <c r="C52" s="59" t="s">
        <v>355</v>
      </c>
      <c r="D52" s="60" t="s">
        <v>366</v>
      </c>
      <c r="E52" s="61">
        <f t="shared" si="2"/>
        <v>3146</v>
      </c>
      <c r="F52" s="61">
        <v>3146</v>
      </c>
      <c r="G52" s="62"/>
    </row>
    <row r="53" spans="1:7" ht="15.75">
      <c r="A53" s="82"/>
      <c r="B53" s="59"/>
      <c r="C53" s="59" t="s">
        <v>357</v>
      </c>
      <c r="D53" s="60" t="s">
        <v>358</v>
      </c>
      <c r="E53" s="61">
        <f t="shared" si="2"/>
        <v>596542</v>
      </c>
      <c r="F53" s="61">
        <v>596542</v>
      </c>
      <c r="G53" s="62"/>
    </row>
    <row r="54" spans="1:7" ht="15.75">
      <c r="A54" s="82"/>
      <c r="B54" s="59"/>
      <c r="C54" s="59" t="s">
        <v>367</v>
      </c>
      <c r="D54" s="60" t="s">
        <v>368</v>
      </c>
      <c r="E54" s="61">
        <f t="shared" si="2"/>
        <v>40000</v>
      </c>
      <c r="F54" s="61">
        <v>40000</v>
      </c>
      <c r="G54" s="62"/>
    </row>
    <row r="55" spans="1:7" ht="15.75">
      <c r="A55" s="82"/>
      <c r="B55" s="59"/>
      <c r="C55" s="59" t="s">
        <v>369</v>
      </c>
      <c r="D55" s="60" t="s">
        <v>370</v>
      </c>
      <c r="E55" s="61">
        <f t="shared" si="2"/>
        <v>15000</v>
      </c>
      <c r="F55" s="61">
        <v>15000</v>
      </c>
      <c r="G55" s="62"/>
    </row>
    <row r="56" spans="1:7" ht="15.75">
      <c r="A56" s="82"/>
      <c r="B56" s="59"/>
      <c r="C56" s="59" t="s">
        <v>371</v>
      </c>
      <c r="D56" s="60" t="s">
        <v>372</v>
      </c>
      <c r="E56" s="61">
        <f t="shared" si="2"/>
        <v>20000</v>
      </c>
      <c r="F56" s="61">
        <v>20000</v>
      </c>
      <c r="G56" s="62"/>
    </row>
    <row r="57" spans="1:7" ht="15.75">
      <c r="A57" s="59"/>
      <c r="B57" s="59"/>
      <c r="C57" s="59" t="s">
        <v>359</v>
      </c>
      <c r="D57" s="60" t="s">
        <v>360</v>
      </c>
      <c r="E57" s="61">
        <f t="shared" si="2"/>
        <v>310000</v>
      </c>
      <c r="F57" s="61">
        <v>310000</v>
      </c>
      <c r="G57" s="62"/>
    </row>
    <row r="58" spans="1:7" ht="15.75">
      <c r="A58" s="59"/>
      <c r="B58" s="59"/>
      <c r="C58" s="59" t="s">
        <v>361</v>
      </c>
      <c r="D58" s="60" t="s">
        <v>373</v>
      </c>
      <c r="E58" s="61">
        <f t="shared" si="2"/>
        <v>10900</v>
      </c>
      <c r="F58" s="61">
        <v>10900</v>
      </c>
      <c r="G58" s="62"/>
    </row>
    <row r="59" spans="1:7" ht="15.75">
      <c r="A59" s="59"/>
      <c r="B59" s="59"/>
      <c r="C59" s="59" t="s">
        <v>348</v>
      </c>
      <c r="D59" s="60" t="s">
        <v>363</v>
      </c>
      <c r="E59" s="61">
        <f t="shared" si="2"/>
        <v>25000</v>
      </c>
      <c r="F59" s="61">
        <v>25000</v>
      </c>
      <c r="G59" s="62"/>
    </row>
    <row r="60" spans="1:7" ht="15.75">
      <c r="A60" s="56"/>
      <c r="B60" s="56">
        <v>75618</v>
      </c>
      <c r="C60" s="56"/>
      <c r="D60" s="57" t="s">
        <v>374</v>
      </c>
      <c r="E60" s="58">
        <f>SUM(E61:E64)</f>
        <v>519500</v>
      </c>
      <c r="F60" s="58">
        <f>SUM(F61:F64)</f>
        <v>519500</v>
      </c>
      <c r="G60" s="58">
        <f>SUM(G61:G64)</f>
        <v>0</v>
      </c>
    </row>
    <row r="61" spans="1:7" ht="15.75">
      <c r="A61" s="59"/>
      <c r="B61" s="59"/>
      <c r="C61" s="59" t="s">
        <v>375</v>
      </c>
      <c r="D61" s="60" t="s">
        <v>376</v>
      </c>
      <c r="E61" s="61">
        <f aca="true" t="shared" si="3" ref="E61:E66">F61</f>
        <v>90000</v>
      </c>
      <c r="F61" s="61">
        <v>90000</v>
      </c>
      <c r="G61" s="62"/>
    </row>
    <row r="62" spans="1:7" ht="15.75">
      <c r="A62" s="59"/>
      <c r="B62" s="59"/>
      <c r="C62" s="59" t="s">
        <v>377</v>
      </c>
      <c r="D62" s="60" t="s">
        <v>378</v>
      </c>
      <c r="E62" s="61">
        <f t="shared" si="3"/>
        <v>330000</v>
      </c>
      <c r="F62" s="61">
        <v>330000</v>
      </c>
      <c r="G62" s="62"/>
    </row>
    <row r="63" spans="1:7" ht="15.75">
      <c r="A63" s="59"/>
      <c r="B63" s="59"/>
      <c r="C63" s="59" t="s">
        <v>379</v>
      </c>
      <c r="D63" s="60" t="s">
        <v>380</v>
      </c>
      <c r="E63" s="61">
        <f t="shared" si="3"/>
        <v>97000</v>
      </c>
      <c r="F63" s="61">
        <f>60000+37000</f>
        <v>97000</v>
      </c>
      <c r="G63" s="62"/>
    </row>
    <row r="64" spans="1:7" ht="15.75">
      <c r="A64" s="59"/>
      <c r="B64" s="59"/>
      <c r="C64" s="59" t="s">
        <v>361</v>
      </c>
      <c r="D64" s="60" t="s">
        <v>381</v>
      </c>
      <c r="E64" s="61">
        <f t="shared" si="3"/>
        <v>2500</v>
      </c>
      <c r="F64" s="61">
        <v>2500</v>
      </c>
      <c r="G64" s="62"/>
    </row>
    <row r="65" spans="1:7" s="85" customFormat="1" ht="15.75">
      <c r="A65" s="56"/>
      <c r="B65" s="56">
        <v>75619</v>
      </c>
      <c r="C65" s="56"/>
      <c r="D65" s="57" t="s">
        <v>382</v>
      </c>
      <c r="E65" s="58">
        <f t="shared" si="3"/>
        <v>750</v>
      </c>
      <c r="F65" s="58">
        <f>F66</f>
        <v>750</v>
      </c>
      <c r="G65" s="84"/>
    </row>
    <row r="66" spans="1:7" ht="15.75">
      <c r="A66" s="59"/>
      <c r="B66" s="59"/>
      <c r="C66" s="59" t="s">
        <v>383</v>
      </c>
      <c r="D66" s="60" t="s">
        <v>384</v>
      </c>
      <c r="E66" s="61">
        <f t="shared" si="3"/>
        <v>750</v>
      </c>
      <c r="F66" s="61">
        <v>750</v>
      </c>
      <c r="G66" s="62"/>
    </row>
    <row r="67" spans="1:7" ht="15.75">
      <c r="A67" s="56"/>
      <c r="B67" s="56">
        <v>75621</v>
      </c>
      <c r="C67" s="56"/>
      <c r="D67" s="57" t="s">
        <v>385</v>
      </c>
      <c r="E67" s="58">
        <f>E68+E69</f>
        <v>7896597</v>
      </c>
      <c r="F67" s="58">
        <f>F68+F69</f>
        <v>7896597</v>
      </c>
      <c r="G67" s="58">
        <f>G68+G69</f>
        <v>0</v>
      </c>
    </row>
    <row r="68" spans="1:7" ht="15.75">
      <c r="A68" s="59"/>
      <c r="B68" s="59"/>
      <c r="C68" s="59" t="s">
        <v>386</v>
      </c>
      <c r="D68" s="60" t="s">
        <v>387</v>
      </c>
      <c r="E68" s="61">
        <f>F68</f>
        <v>7596597</v>
      </c>
      <c r="F68" s="61">
        <v>7596597</v>
      </c>
      <c r="G68" s="62"/>
    </row>
    <row r="69" spans="1:7" ht="15.75">
      <c r="A69" s="59"/>
      <c r="B69" s="59"/>
      <c r="C69" s="59" t="s">
        <v>388</v>
      </c>
      <c r="D69" s="60" t="s">
        <v>389</v>
      </c>
      <c r="E69" s="61">
        <f>F69</f>
        <v>300000</v>
      </c>
      <c r="F69" s="61">
        <v>300000</v>
      </c>
      <c r="G69" s="62"/>
    </row>
    <row r="70" spans="1:7" ht="15.75">
      <c r="A70" s="56"/>
      <c r="B70" s="56">
        <v>75624</v>
      </c>
      <c r="C70" s="56"/>
      <c r="D70" s="57" t="s">
        <v>390</v>
      </c>
      <c r="E70" s="61">
        <f>F70</f>
        <v>285</v>
      </c>
      <c r="F70" s="58">
        <f>F71</f>
        <v>285</v>
      </c>
      <c r="G70" s="62"/>
    </row>
    <row r="71" spans="1:7" ht="15.75">
      <c r="A71" s="59"/>
      <c r="B71" s="59"/>
      <c r="C71" s="59" t="s">
        <v>391</v>
      </c>
      <c r="D71" s="60" t="s">
        <v>392</v>
      </c>
      <c r="E71" s="61">
        <f>F71</f>
        <v>285</v>
      </c>
      <c r="F71" s="61">
        <v>285</v>
      </c>
      <c r="G71" s="62"/>
    </row>
    <row r="72" spans="1:7" ht="15.75">
      <c r="A72" s="53">
        <v>758</v>
      </c>
      <c r="B72" s="53"/>
      <c r="C72" s="53"/>
      <c r="D72" s="54" t="s">
        <v>393</v>
      </c>
      <c r="E72" s="55">
        <f>E73+E75+E77</f>
        <v>12998024</v>
      </c>
      <c r="F72" s="55">
        <f>F73+F75+F77</f>
        <v>12998024</v>
      </c>
      <c r="G72" s="55">
        <f>G73+G75+G77</f>
        <v>0</v>
      </c>
    </row>
    <row r="73" spans="1:7" ht="15.75">
      <c r="A73" s="56"/>
      <c r="B73" s="56">
        <v>75801</v>
      </c>
      <c r="C73" s="56"/>
      <c r="D73" s="57" t="s">
        <v>394</v>
      </c>
      <c r="E73" s="58">
        <f>E74</f>
        <v>9884836</v>
      </c>
      <c r="F73" s="58">
        <f>F74</f>
        <v>9884836</v>
      </c>
      <c r="G73" s="58">
        <f>G74</f>
        <v>0</v>
      </c>
    </row>
    <row r="74" spans="1:7" ht="15.75">
      <c r="A74" s="56"/>
      <c r="B74" s="59"/>
      <c r="C74" s="59">
        <v>2920</v>
      </c>
      <c r="D74" s="60" t="s">
        <v>395</v>
      </c>
      <c r="E74" s="61">
        <f>F74</f>
        <v>9884836</v>
      </c>
      <c r="F74" s="61">
        <v>9884836</v>
      </c>
      <c r="G74" s="62"/>
    </row>
    <row r="75" spans="1:7" ht="15.75">
      <c r="A75" s="56"/>
      <c r="B75" s="56">
        <v>75807</v>
      </c>
      <c r="C75" s="56"/>
      <c r="D75" s="57" t="s">
        <v>396</v>
      </c>
      <c r="E75" s="58">
        <f>E76</f>
        <v>2817425</v>
      </c>
      <c r="F75" s="58">
        <f>F76</f>
        <v>2817425</v>
      </c>
      <c r="G75" s="58">
        <f>G76</f>
        <v>0</v>
      </c>
    </row>
    <row r="76" spans="1:7" ht="15.75">
      <c r="A76" s="56"/>
      <c r="B76" s="59"/>
      <c r="C76" s="59">
        <v>2920</v>
      </c>
      <c r="D76" s="60" t="s">
        <v>395</v>
      </c>
      <c r="E76" s="61">
        <f>F76</f>
        <v>2817425</v>
      </c>
      <c r="F76" s="61">
        <v>2817425</v>
      </c>
      <c r="G76" s="62"/>
    </row>
    <row r="77" spans="1:7" ht="15.75">
      <c r="A77" s="56"/>
      <c r="B77" s="56">
        <v>75831</v>
      </c>
      <c r="C77" s="56"/>
      <c r="D77" s="57" t="s">
        <v>397</v>
      </c>
      <c r="E77" s="58">
        <f>E78</f>
        <v>295763</v>
      </c>
      <c r="F77" s="58">
        <f>F78</f>
        <v>295763</v>
      </c>
      <c r="G77" s="58">
        <f>G78</f>
        <v>0</v>
      </c>
    </row>
    <row r="78" spans="1:7" ht="15.75">
      <c r="A78" s="56"/>
      <c r="B78" s="59"/>
      <c r="C78" s="59">
        <v>2920</v>
      </c>
      <c r="D78" s="60" t="s">
        <v>395</v>
      </c>
      <c r="E78" s="61">
        <f>F78</f>
        <v>295763</v>
      </c>
      <c r="F78" s="61">
        <v>295763</v>
      </c>
      <c r="G78" s="62"/>
    </row>
    <row r="79" spans="1:7" ht="15" customHeight="1">
      <c r="A79" s="723" t="s">
        <v>326</v>
      </c>
      <c r="B79" s="723"/>
      <c r="C79" s="723"/>
      <c r="D79" s="723"/>
      <c r="E79" s="723"/>
      <c r="F79" s="723"/>
      <c r="G79" s="723" t="s">
        <v>398</v>
      </c>
    </row>
    <row r="80" spans="1:8" ht="15.75">
      <c r="A80" s="53">
        <v>801</v>
      </c>
      <c r="B80" s="53"/>
      <c r="C80" s="53"/>
      <c r="D80" s="54" t="s">
        <v>399</v>
      </c>
      <c r="E80" s="55">
        <f>E81+E90+E95+E86</f>
        <v>1909512</v>
      </c>
      <c r="F80" s="55">
        <f>F81+F90+F95+F86</f>
        <v>1614762</v>
      </c>
      <c r="G80" s="55">
        <f>G81+G90+G95+G86</f>
        <v>294750</v>
      </c>
      <c r="H80" s="86"/>
    </row>
    <row r="81" spans="1:7" ht="15.75">
      <c r="A81" s="56"/>
      <c r="B81" s="56">
        <v>80101</v>
      </c>
      <c r="C81" s="56"/>
      <c r="D81" s="57" t="s">
        <v>400</v>
      </c>
      <c r="E81" s="58">
        <f>SUM(E82:E85)</f>
        <v>318387</v>
      </c>
      <c r="F81" s="58">
        <f>SUM(F82:F85)</f>
        <v>23637</v>
      </c>
      <c r="G81" s="58">
        <f>SUM(G82:G85)</f>
        <v>294750</v>
      </c>
    </row>
    <row r="82" spans="1:7" ht="47.25">
      <c r="A82" s="82"/>
      <c r="B82" s="59"/>
      <c r="C82" s="59" t="s">
        <v>307</v>
      </c>
      <c r="D82" s="60" t="s">
        <v>401</v>
      </c>
      <c r="E82" s="61">
        <f>F82</f>
        <v>14200</v>
      </c>
      <c r="F82" s="61">
        <f>'zał 12'!H8</f>
        <v>14200</v>
      </c>
      <c r="G82" s="61"/>
    </row>
    <row r="83" spans="1:7" ht="15.75">
      <c r="A83" s="59"/>
      <c r="B83" s="59"/>
      <c r="C83" s="59" t="s">
        <v>336</v>
      </c>
      <c r="D83" s="60" t="s">
        <v>337</v>
      </c>
      <c r="E83" s="61">
        <f>F83</f>
        <v>8387</v>
      </c>
      <c r="F83" s="61">
        <f>'zał 12'!H9</f>
        <v>8387</v>
      </c>
      <c r="G83" s="61"/>
    </row>
    <row r="84" spans="1:7" ht="15.75">
      <c r="A84" s="59"/>
      <c r="B84" s="59"/>
      <c r="C84" s="59" t="s">
        <v>324</v>
      </c>
      <c r="D84" s="60" t="s">
        <v>325</v>
      </c>
      <c r="E84" s="61">
        <f>F84</f>
        <v>1050</v>
      </c>
      <c r="F84" s="61">
        <f>'zał 12'!H10</f>
        <v>1050</v>
      </c>
      <c r="G84" s="61"/>
    </row>
    <row r="85" spans="1:7" ht="31.5">
      <c r="A85" s="59"/>
      <c r="B85" s="59"/>
      <c r="C85" s="59" t="s">
        <v>402</v>
      </c>
      <c r="D85" s="87" t="s">
        <v>403</v>
      </c>
      <c r="E85" s="61">
        <f>G85</f>
        <v>294750</v>
      </c>
      <c r="F85" s="61"/>
      <c r="G85" s="61">
        <f>'zał 7'!E142/2</f>
        <v>294750</v>
      </c>
    </row>
    <row r="86" spans="1:7" ht="15.75">
      <c r="A86" s="56" t="s">
        <v>284</v>
      </c>
      <c r="B86" s="56" t="s">
        <v>404</v>
      </c>
      <c r="C86" s="56"/>
      <c r="D86" s="57" t="s">
        <v>405</v>
      </c>
      <c r="E86" s="58">
        <f>SUM(E87:E89)</f>
        <v>882606</v>
      </c>
      <c r="F86" s="58">
        <f>SUM(F87:F89)</f>
        <v>882606</v>
      </c>
      <c r="G86" s="58">
        <f>SUM(G87:G89)</f>
        <v>0</v>
      </c>
    </row>
    <row r="87" spans="1:7" ht="47.25">
      <c r="A87" s="59"/>
      <c r="B87" s="59"/>
      <c r="C87" s="59" t="s">
        <v>307</v>
      </c>
      <c r="D87" s="60" t="s">
        <v>406</v>
      </c>
      <c r="E87" s="61">
        <f>F87</f>
        <v>9996</v>
      </c>
      <c r="F87" s="61">
        <f>'zał 13'!G8</f>
        <v>9996</v>
      </c>
      <c r="G87" s="61"/>
    </row>
    <row r="88" spans="1:7" ht="15.75">
      <c r="A88" s="59"/>
      <c r="B88" s="59"/>
      <c r="C88" s="59" t="s">
        <v>336</v>
      </c>
      <c r="D88" s="60" t="s">
        <v>337</v>
      </c>
      <c r="E88" s="61">
        <f>F88</f>
        <v>868610</v>
      </c>
      <c r="F88" s="61">
        <f>'zał 13'!G9</f>
        <v>868610</v>
      </c>
      <c r="G88" s="61"/>
    </row>
    <row r="89" spans="1:7" ht="15.75">
      <c r="A89" s="59"/>
      <c r="B89" s="59"/>
      <c r="C89" s="59" t="s">
        <v>324</v>
      </c>
      <c r="D89" s="60" t="s">
        <v>325</v>
      </c>
      <c r="E89" s="61">
        <f>F89</f>
        <v>4000</v>
      </c>
      <c r="F89" s="61">
        <f>'zał 13'!G10</f>
        <v>4000</v>
      </c>
      <c r="G89" s="61"/>
    </row>
    <row r="90" spans="1:7" ht="15.75">
      <c r="A90" s="56"/>
      <c r="B90" s="56">
        <v>80110</v>
      </c>
      <c r="C90" s="56"/>
      <c r="D90" s="57" t="s">
        <v>407</v>
      </c>
      <c r="E90" s="58">
        <f>SUM(E91:E94)</f>
        <v>14175</v>
      </c>
      <c r="F90" s="58">
        <f>SUM(F91:F94)</f>
        <v>14175</v>
      </c>
      <c r="G90" s="58">
        <f>SUM(G91:G94)</f>
        <v>0</v>
      </c>
    </row>
    <row r="91" spans="1:7" ht="47.25">
      <c r="A91" s="59"/>
      <c r="B91" s="59"/>
      <c r="C91" s="59" t="s">
        <v>307</v>
      </c>
      <c r="D91" s="60" t="s">
        <v>408</v>
      </c>
      <c r="E91" s="61">
        <f>F91</f>
        <v>8750</v>
      </c>
      <c r="F91" s="61">
        <f>'zał 14'!H8</f>
        <v>8750</v>
      </c>
      <c r="G91" s="61"/>
    </row>
    <row r="92" spans="1:7" ht="15.75">
      <c r="A92" s="59"/>
      <c r="B92" s="59"/>
      <c r="C92" s="59" t="s">
        <v>336</v>
      </c>
      <c r="D92" s="60" t="s">
        <v>337</v>
      </c>
      <c r="E92" s="61">
        <f>F92</f>
        <v>1310</v>
      </c>
      <c r="F92" s="61">
        <f>'zał 14'!H9</f>
        <v>1310</v>
      </c>
      <c r="G92" s="61"/>
    </row>
    <row r="93" spans="1:7" ht="15.75">
      <c r="A93" s="59"/>
      <c r="B93" s="59"/>
      <c r="C93" s="59" t="s">
        <v>324</v>
      </c>
      <c r="D93" s="60" t="s">
        <v>325</v>
      </c>
      <c r="E93" s="61">
        <f>F93</f>
        <v>4015</v>
      </c>
      <c r="F93" s="61">
        <f>'zał 14'!H10</f>
        <v>4015</v>
      </c>
      <c r="G93" s="62"/>
    </row>
    <row r="94" spans="1:7" ht="15.75">
      <c r="A94" s="59"/>
      <c r="B94" s="59"/>
      <c r="C94" s="59" t="s">
        <v>383</v>
      </c>
      <c r="D94" s="60" t="s">
        <v>409</v>
      </c>
      <c r="E94" s="61">
        <f>F94</f>
        <v>100</v>
      </c>
      <c r="F94" s="61">
        <v>100</v>
      </c>
      <c r="G94" s="62"/>
    </row>
    <row r="95" spans="1:7" ht="15.75">
      <c r="A95" s="56"/>
      <c r="B95" s="56">
        <v>80148</v>
      </c>
      <c r="C95" s="56"/>
      <c r="D95" s="57" t="s">
        <v>410</v>
      </c>
      <c r="E95" s="58">
        <f>E96</f>
        <v>694344</v>
      </c>
      <c r="F95" s="58">
        <f>F96</f>
        <v>694344</v>
      </c>
      <c r="G95" s="58">
        <f>G96</f>
        <v>0</v>
      </c>
    </row>
    <row r="96" spans="1:7" ht="31.5">
      <c r="A96" s="59"/>
      <c r="B96" s="78" t="s">
        <v>340</v>
      </c>
      <c r="C96" s="59" t="s">
        <v>336</v>
      </c>
      <c r="D96" s="60" t="s">
        <v>337</v>
      </c>
      <c r="E96" s="61">
        <f>F96</f>
        <v>694344</v>
      </c>
      <c r="F96" s="61">
        <f>'zał 12'!H12+'zał 13'!G12+'zał 14'!H13</f>
        <v>694344</v>
      </c>
      <c r="G96" s="62"/>
    </row>
    <row r="97" spans="1:8" ht="15.75">
      <c r="A97" s="53">
        <v>852</v>
      </c>
      <c r="B97" s="53"/>
      <c r="C97" s="53"/>
      <c r="D97" s="54" t="s">
        <v>411</v>
      </c>
      <c r="E97" s="55">
        <f>E98+E102+E107+E112+E100+E104</f>
        <v>1125000</v>
      </c>
      <c r="F97" s="55">
        <f>F98+F102+F107+F112+F100+F104</f>
        <v>1125000</v>
      </c>
      <c r="G97" s="55">
        <f>G98+G102+G107+G112+G100+G104</f>
        <v>0</v>
      </c>
      <c r="H97" s="86"/>
    </row>
    <row r="98" spans="1:7" ht="31.5">
      <c r="A98" s="56"/>
      <c r="B98" s="56">
        <v>85212</v>
      </c>
      <c r="C98" s="56"/>
      <c r="D98" s="57" t="s">
        <v>412</v>
      </c>
      <c r="E98" s="58">
        <f>E99</f>
        <v>55000</v>
      </c>
      <c r="F98" s="58">
        <f>F99</f>
        <v>55000</v>
      </c>
      <c r="G98" s="58">
        <f>G99</f>
        <v>0</v>
      </c>
    </row>
    <row r="99" spans="1:7" ht="31.5">
      <c r="A99" s="56"/>
      <c r="B99" s="59"/>
      <c r="C99" s="59">
        <v>2360</v>
      </c>
      <c r="D99" s="60" t="s">
        <v>413</v>
      </c>
      <c r="E99" s="61">
        <f>F99</f>
        <v>55000</v>
      </c>
      <c r="F99" s="61">
        <v>55000</v>
      </c>
      <c r="G99" s="62"/>
    </row>
    <row r="100" spans="1:7" s="85" customFormat="1" ht="31.5">
      <c r="A100" s="65"/>
      <c r="B100" s="65">
        <v>85213</v>
      </c>
      <c r="C100" s="65"/>
      <c r="D100" s="66" t="s">
        <v>414</v>
      </c>
      <c r="E100" s="88">
        <f>E101</f>
        <v>30000</v>
      </c>
      <c r="F100" s="88">
        <f>F101</f>
        <v>30000</v>
      </c>
      <c r="G100" s="89"/>
    </row>
    <row r="101" spans="1:7" ht="15.75">
      <c r="A101" s="56"/>
      <c r="B101" s="59"/>
      <c r="C101" s="59">
        <v>2030</v>
      </c>
      <c r="D101" s="60" t="s">
        <v>415</v>
      </c>
      <c r="E101" s="61">
        <f>F101</f>
        <v>30000</v>
      </c>
      <c r="F101" s="61">
        <v>30000</v>
      </c>
      <c r="G101" s="62"/>
    </row>
    <row r="102" spans="1:7" ht="15.75">
      <c r="A102" s="56"/>
      <c r="B102" s="56">
        <v>85214</v>
      </c>
      <c r="C102" s="56"/>
      <c r="D102" s="57" t="s">
        <v>416</v>
      </c>
      <c r="E102" s="58">
        <f>E103</f>
        <v>370000</v>
      </c>
      <c r="F102" s="58">
        <f>F103</f>
        <v>370000</v>
      </c>
      <c r="G102" s="58">
        <f>G103</f>
        <v>0</v>
      </c>
    </row>
    <row r="103" spans="1:7" ht="15.75">
      <c r="A103" s="56"/>
      <c r="B103" s="59"/>
      <c r="C103" s="59">
        <v>2030</v>
      </c>
      <c r="D103" s="60" t="s">
        <v>415</v>
      </c>
      <c r="E103" s="61">
        <f>F103</f>
        <v>370000</v>
      </c>
      <c r="F103" s="61">
        <v>370000</v>
      </c>
      <c r="G103" s="62"/>
    </row>
    <row r="104" spans="1:7" ht="15.75">
      <c r="A104" s="56"/>
      <c r="B104" s="65">
        <v>85216</v>
      </c>
      <c r="C104" s="65"/>
      <c r="D104" s="57" t="s">
        <v>417</v>
      </c>
      <c r="E104" s="58">
        <f>E105</f>
        <v>343000</v>
      </c>
      <c r="F104" s="58">
        <f>F105</f>
        <v>343000</v>
      </c>
      <c r="G104" s="62"/>
    </row>
    <row r="105" spans="1:7" ht="15.75">
      <c r="A105" s="56"/>
      <c r="B105" s="59"/>
      <c r="C105" s="59">
        <v>2030</v>
      </c>
      <c r="D105" s="60" t="s">
        <v>415</v>
      </c>
      <c r="E105" s="61">
        <f>F105</f>
        <v>343000</v>
      </c>
      <c r="F105" s="61">
        <v>343000</v>
      </c>
      <c r="G105" s="62"/>
    </row>
    <row r="106" spans="1:7" ht="15" customHeight="1">
      <c r="A106" s="723" t="s">
        <v>326</v>
      </c>
      <c r="B106" s="723"/>
      <c r="C106" s="723"/>
      <c r="D106" s="723"/>
      <c r="E106" s="723"/>
      <c r="F106" s="723"/>
      <c r="G106" s="723"/>
    </row>
    <row r="107" spans="1:7" ht="15.75">
      <c r="A107" s="56"/>
      <c r="B107" s="56">
        <v>85219</v>
      </c>
      <c r="C107" s="56"/>
      <c r="D107" s="57" t="s">
        <v>418</v>
      </c>
      <c r="E107" s="58">
        <f>SUM(E108:E111)</f>
        <v>309000</v>
      </c>
      <c r="F107" s="58">
        <f>SUM(F108:F111)</f>
        <v>309000</v>
      </c>
      <c r="G107" s="58">
        <f>SUM(G108:G111)</f>
        <v>0</v>
      </c>
    </row>
    <row r="108" spans="1:7" ht="47.25">
      <c r="A108" s="59"/>
      <c r="B108" s="59"/>
      <c r="C108" s="59" t="s">
        <v>307</v>
      </c>
      <c r="D108" s="90" t="s">
        <v>406</v>
      </c>
      <c r="E108" s="61">
        <f>F108</f>
        <v>20000</v>
      </c>
      <c r="F108" s="61">
        <v>20000</v>
      </c>
      <c r="G108" s="62"/>
    </row>
    <row r="109" spans="1:7" ht="15.75">
      <c r="A109" s="59"/>
      <c r="B109" s="59"/>
      <c r="C109" s="59" t="s">
        <v>324</v>
      </c>
      <c r="D109" s="60" t="s">
        <v>325</v>
      </c>
      <c r="E109" s="61">
        <f>F109</f>
        <v>11000</v>
      </c>
      <c r="F109" s="61">
        <v>11000</v>
      </c>
      <c r="G109" s="62"/>
    </row>
    <row r="110" spans="1:7" ht="15.75">
      <c r="A110" s="59"/>
      <c r="B110" s="59"/>
      <c r="C110" s="59" t="s">
        <v>383</v>
      </c>
      <c r="D110" s="60" t="s">
        <v>419</v>
      </c>
      <c r="E110" s="61">
        <f>F110</f>
        <v>1000</v>
      </c>
      <c r="F110" s="61">
        <v>1000</v>
      </c>
      <c r="G110" s="62"/>
    </row>
    <row r="111" spans="1:7" ht="15.75">
      <c r="A111" s="59"/>
      <c r="B111" s="59"/>
      <c r="C111" s="59">
        <v>2030</v>
      </c>
      <c r="D111" s="60" t="s">
        <v>420</v>
      </c>
      <c r="E111" s="61">
        <f>F111</f>
        <v>277000</v>
      </c>
      <c r="F111" s="61">
        <v>277000</v>
      </c>
      <c r="G111" s="62"/>
    </row>
    <row r="112" spans="1:7" ht="31.5">
      <c r="A112" s="56"/>
      <c r="B112" s="91" t="s">
        <v>421</v>
      </c>
      <c r="C112" s="56"/>
      <c r="D112" s="57" t="s">
        <v>422</v>
      </c>
      <c r="E112" s="58">
        <f>E113</f>
        <v>18000</v>
      </c>
      <c r="F112" s="58">
        <f>F113</f>
        <v>18000</v>
      </c>
      <c r="G112" s="58">
        <f>G113</f>
        <v>0</v>
      </c>
    </row>
    <row r="113" spans="1:7" ht="15.75">
      <c r="A113" s="59"/>
      <c r="B113" s="59"/>
      <c r="C113" s="59" t="s">
        <v>336</v>
      </c>
      <c r="D113" s="60" t="s">
        <v>423</v>
      </c>
      <c r="E113" s="61">
        <f>F113</f>
        <v>18000</v>
      </c>
      <c r="F113" s="61">
        <v>18000</v>
      </c>
      <c r="G113" s="92"/>
    </row>
    <row r="114" spans="1:7" ht="15.75">
      <c r="A114" s="53">
        <v>900</v>
      </c>
      <c r="B114" s="53"/>
      <c r="C114" s="53"/>
      <c r="D114" s="54" t="s">
        <v>424</v>
      </c>
      <c r="E114" s="55">
        <f aca="true" t="shared" si="4" ref="E114:G115">E115</f>
        <v>3000</v>
      </c>
      <c r="F114" s="55">
        <f t="shared" si="4"/>
        <v>3000</v>
      </c>
      <c r="G114" s="55">
        <f t="shared" si="4"/>
        <v>0</v>
      </c>
    </row>
    <row r="115" spans="1:7" ht="15.75">
      <c r="A115" s="56"/>
      <c r="B115" s="56">
        <v>90020</v>
      </c>
      <c r="C115" s="56"/>
      <c r="D115" s="57" t="s">
        <v>425</v>
      </c>
      <c r="E115" s="58">
        <f t="shared" si="4"/>
        <v>3000</v>
      </c>
      <c r="F115" s="58">
        <f t="shared" si="4"/>
        <v>3000</v>
      </c>
      <c r="G115" s="58">
        <f t="shared" si="4"/>
        <v>0</v>
      </c>
    </row>
    <row r="116" spans="1:7" ht="31.5">
      <c r="A116" s="56"/>
      <c r="B116" s="78" t="s">
        <v>340</v>
      </c>
      <c r="C116" s="79" t="s">
        <v>426</v>
      </c>
      <c r="D116" s="60" t="s">
        <v>427</v>
      </c>
      <c r="E116" s="61">
        <f>F116</f>
        <v>3000</v>
      </c>
      <c r="F116" s="61">
        <v>3000</v>
      </c>
      <c r="G116" s="92"/>
    </row>
    <row r="117" spans="1:7" ht="15.75">
      <c r="A117" s="63">
        <v>921</v>
      </c>
      <c r="B117" s="63"/>
      <c r="C117" s="63"/>
      <c r="D117" s="64" t="s">
        <v>428</v>
      </c>
      <c r="E117" s="55">
        <f>E118+E131+E133+E129</f>
        <v>5000</v>
      </c>
      <c r="F117" s="55">
        <f>F118+F131+F133+F129</f>
        <v>5000</v>
      </c>
      <c r="G117" s="55">
        <f>G118+G131+G133+G129</f>
        <v>0</v>
      </c>
    </row>
    <row r="118" spans="1:7" ht="15.75">
      <c r="A118" s="65"/>
      <c r="B118" s="65">
        <v>92109</v>
      </c>
      <c r="C118" s="65"/>
      <c r="D118" s="66" t="s">
        <v>429</v>
      </c>
      <c r="E118" s="58">
        <f>E119</f>
        <v>5000</v>
      </c>
      <c r="F118" s="58">
        <f>F119</f>
        <v>5000</v>
      </c>
      <c r="G118" s="58">
        <f>G119</f>
        <v>0</v>
      </c>
    </row>
    <row r="119" spans="1:7" ht="15.75">
      <c r="A119" s="59"/>
      <c r="B119" s="59"/>
      <c r="C119" s="59" t="s">
        <v>336</v>
      </c>
      <c r="D119" s="60" t="s">
        <v>430</v>
      </c>
      <c r="E119" s="61">
        <f>F119</f>
        <v>5000</v>
      </c>
      <c r="F119" s="61">
        <v>5000</v>
      </c>
      <c r="G119" s="92"/>
    </row>
    <row r="120" spans="1:7" ht="15.75">
      <c r="A120" s="64">
        <v>926</v>
      </c>
      <c r="B120" s="64"/>
      <c r="C120" s="64"/>
      <c r="D120" s="64" t="s">
        <v>431</v>
      </c>
      <c r="E120" s="93">
        <f>E121</f>
        <v>666000</v>
      </c>
      <c r="F120" s="93">
        <f>F121</f>
        <v>0</v>
      </c>
      <c r="G120" s="93">
        <f>G121</f>
        <v>666000</v>
      </c>
    </row>
    <row r="121" spans="1:7" ht="15.75">
      <c r="A121" s="94"/>
      <c r="B121" s="94">
        <v>92601</v>
      </c>
      <c r="C121" s="94"/>
      <c r="D121" s="66" t="s">
        <v>432</v>
      </c>
      <c r="E121" s="88">
        <f>E122+E123</f>
        <v>666000</v>
      </c>
      <c r="F121" s="88"/>
      <c r="G121" s="88">
        <f>G122+G123</f>
        <v>666000</v>
      </c>
    </row>
    <row r="122" spans="1:7" ht="31.5">
      <c r="A122" s="94"/>
      <c r="B122" s="95"/>
      <c r="C122" s="59" t="s">
        <v>402</v>
      </c>
      <c r="D122" s="87" t="s">
        <v>403</v>
      </c>
      <c r="E122" s="96">
        <f>G122</f>
        <v>333000</v>
      </c>
      <c r="F122" s="71"/>
      <c r="G122" s="71">
        <v>333000</v>
      </c>
    </row>
    <row r="123" spans="1:7" ht="31.5">
      <c r="A123" s="94"/>
      <c r="B123" s="95"/>
      <c r="C123" s="95">
        <v>6300</v>
      </c>
      <c r="D123" s="97" t="s">
        <v>433</v>
      </c>
      <c r="E123" s="96">
        <f>G123</f>
        <v>333000</v>
      </c>
      <c r="F123" s="71"/>
      <c r="G123" s="71">
        <v>333000</v>
      </c>
    </row>
    <row r="124" spans="1:7" ht="15" customHeight="1">
      <c r="A124" s="724" t="s">
        <v>434</v>
      </c>
      <c r="B124" s="724"/>
      <c r="C124" s="724"/>
      <c r="D124" s="724"/>
      <c r="E124" s="88">
        <f>E114+E97+E80+E72+E35+E27+E23+E14+E7+E10+E117+E120</f>
        <v>39101095</v>
      </c>
      <c r="F124" s="88">
        <f>F114+F97+F80+F72+F35+F27+F23+F14+F7+F10+F117+F120</f>
        <v>35685345</v>
      </c>
      <c r="G124" s="88">
        <f>G114+G97+G80+G72+G35+G27+G23+G14+G7+G10+G117+G120</f>
        <v>3415750</v>
      </c>
    </row>
    <row r="125" spans="4:5" ht="15.75">
      <c r="D125" s="98"/>
      <c r="E125" s="99"/>
    </row>
    <row r="127" spans="5:6" ht="15.75">
      <c r="E127" s="99"/>
      <c r="F127" s="99"/>
    </row>
    <row r="128" ht="15.75">
      <c r="E128" s="99"/>
    </row>
    <row r="129" ht="15.75">
      <c r="E129" s="100"/>
    </row>
  </sheetData>
  <mergeCells count="14">
    <mergeCell ref="A124:D124"/>
    <mergeCell ref="A22:G22"/>
    <mergeCell ref="A48:G48"/>
    <mergeCell ref="A79:G79"/>
    <mergeCell ref="A106:G106"/>
    <mergeCell ref="D1:G1"/>
    <mergeCell ref="A2:G2"/>
    <mergeCell ref="A3:C3"/>
    <mergeCell ref="A4:A5"/>
    <mergeCell ref="B4:B5"/>
    <mergeCell ref="C4:C5"/>
    <mergeCell ref="D4:D5"/>
    <mergeCell ref="E4:E5"/>
    <mergeCell ref="F4:G4"/>
  </mergeCells>
  <printOptions horizontalCentered="1" vertic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85" r:id="rId1"/>
  <headerFooter alignWithMargins="0">
    <oddFooter>&amp;C&amp;"Times New Roman,Normalny"&amp;12Strona &amp;P z &amp;N</oddFooter>
  </headerFooter>
  <rowBreaks count="4" manualBreakCount="4">
    <brk id="21" max="255" man="1"/>
    <brk id="47" max="255" man="1"/>
    <brk id="78" max="255" man="1"/>
    <brk id="10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30"/>
  <sheetViews>
    <sheetView showGridLines="0" defaultGridColor="0" view="pageBreakPreview" zoomScale="90" zoomScaleSheetLayoutView="90" colorId="15" workbookViewId="0" topLeftCell="A7">
      <selection activeCell="A1" sqref="A1:D1"/>
    </sheetView>
  </sheetViews>
  <sheetFormatPr defaultColWidth="9.00390625" defaultRowHeight="12.75"/>
  <cols>
    <col min="1" max="1" width="5.25390625" style="116" customWidth="1"/>
    <col min="2" max="2" width="5.25390625" style="115" customWidth="1"/>
    <col min="3" max="3" width="69.625" style="117" customWidth="1"/>
    <col min="4" max="4" width="15.25390625" style="459" customWidth="1"/>
    <col min="5" max="16384" width="9.125" style="116" customWidth="1"/>
  </cols>
  <sheetData>
    <row r="1" spans="1:4" ht="21.75" customHeight="1">
      <c r="A1" s="751" t="s">
        <v>40</v>
      </c>
      <c r="B1" s="751"/>
      <c r="C1" s="751"/>
      <c r="D1" s="751"/>
    </row>
    <row r="2" spans="1:10" ht="45" customHeight="1">
      <c r="A2" s="752" t="s">
        <v>41</v>
      </c>
      <c r="B2" s="752"/>
      <c r="C2" s="752"/>
      <c r="D2" s="752"/>
      <c r="E2" s="536"/>
      <c r="F2" s="536"/>
      <c r="G2" s="537"/>
      <c r="H2" s="536"/>
      <c r="I2" s="536"/>
      <c r="J2" s="536"/>
    </row>
    <row r="3" ht="18" customHeight="1">
      <c r="D3" s="544" t="s">
        <v>274</v>
      </c>
    </row>
    <row r="4" spans="1:8" ht="18" customHeight="1">
      <c r="A4" s="825" t="s">
        <v>27</v>
      </c>
      <c r="B4" s="826"/>
      <c r="C4" s="550" t="s">
        <v>42</v>
      </c>
      <c r="D4" s="827" t="s">
        <v>438</v>
      </c>
      <c r="E4" s="545"/>
      <c r="F4" s="545"/>
      <c r="G4" s="545"/>
      <c r="H4" s="545"/>
    </row>
    <row r="5" spans="1:8" ht="18" customHeight="1">
      <c r="A5" s="825"/>
      <c r="B5" s="826"/>
      <c r="C5" s="551" t="s">
        <v>744</v>
      </c>
      <c r="D5" s="827"/>
      <c r="E5" s="545"/>
      <c r="F5" s="545"/>
      <c r="G5" s="545"/>
      <c r="H5" s="545"/>
    </row>
    <row r="6" spans="1:8" ht="18" customHeight="1">
      <c r="A6" s="170" t="s">
        <v>28</v>
      </c>
      <c r="B6" s="546" t="s">
        <v>757</v>
      </c>
      <c r="C6" s="552" t="s">
        <v>745</v>
      </c>
      <c r="D6" s="553">
        <v>16000</v>
      </c>
      <c r="E6" s="545"/>
      <c r="F6" s="545"/>
      <c r="G6" s="545"/>
      <c r="H6" s="545"/>
    </row>
    <row r="7" spans="1:8" ht="18" customHeight="1">
      <c r="A7" s="170" t="s">
        <v>29</v>
      </c>
      <c r="B7" s="546" t="s">
        <v>757</v>
      </c>
      <c r="C7" s="552" t="s">
        <v>746</v>
      </c>
      <c r="D7" s="553">
        <f>SUM(D8:D10)</f>
        <v>85500</v>
      </c>
      <c r="E7" s="545"/>
      <c r="F7" s="545"/>
      <c r="G7" s="545"/>
      <c r="H7" s="545"/>
    </row>
    <row r="8" spans="1:8" ht="18" customHeight="1">
      <c r="A8" s="193" t="s">
        <v>30</v>
      </c>
      <c r="B8" s="68"/>
      <c r="C8" s="69" t="s">
        <v>43</v>
      </c>
      <c r="D8" s="215">
        <v>83000</v>
      </c>
      <c r="E8" s="545"/>
      <c r="F8" s="545"/>
      <c r="G8" s="545"/>
      <c r="H8" s="545"/>
    </row>
    <row r="9" spans="1:8" ht="18" customHeight="1">
      <c r="A9" s="193" t="s">
        <v>32</v>
      </c>
      <c r="B9" s="68"/>
      <c r="C9" s="69" t="s">
        <v>44</v>
      </c>
      <c r="D9" s="215">
        <v>2000</v>
      </c>
      <c r="E9" s="545"/>
      <c r="F9" s="545"/>
      <c r="G9" s="545"/>
      <c r="H9" s="545"/>
    </row>
    <row r="10" spans="1:8" ht="18" customHeight="1">
      <c r="A10" s="193" t="s">
        <v>33</v>
      </c>
      <c r="B10" s="68"/>
      <c r="C10" s="69" t="s">
        <v>45</v>
      </c>
      <c r="D10" s="215">
        <v>500</v>
      </c>
      <c r="E10" s="545"/>
      <c r="F10" s="545"/>
      <c r="G10" s="545"/>
      <c r="H10" s="545"/>
    </row>
    <row r="11" spans="1:8" ht="18" customHeight="1">
      <c r="A11" s="170" t="s">
        <v>34</v>
      </c>
      <c r="B11" s="546" t="s">
        <v>757</v>
      </c>
      <c r="C11" s="552" t="s">
        <v>747</v>
      </c>
      <c r="D11" s="553">
        <f>D12</f>
        <v>101500</v>
      </c>
      <c r="E11" s="545"/>
      <c r="F11" s="545"/>
      <c r="G11" s="545"/>
      <c r="H11" s="545"/>
    </row>
    <row r="12" spans="1:8" ht="18" customHeight="1">
      <c r="A12" s="193" t="s">
        <v>30</v>
      </c>
      <c r="B12" s="68" t="s">
        <v>757</v>
      </c>
      <c r="C12" s="554" t="s">
        <v>636</v>
      </c>
      <c r="D12" s="215">
        <f>D13+D14+D21</f>
        <v>101500</v>
      </c>
      <c r="E12" s="545"/>
      <c r="F12" s="545"/>
      <c r="G12" s="545"/>
      <c r="H12" s="545"/>
    </row>
    <row r="13" spans="1:8" ht="32.25" customHeight="1">
      <c r="A13" s="193"/>
      <c r="B13" s="68"/>
      <c r="C13" s="69" t="s">
        <v>46</v>
      </c>
      <c r="D13" s="215">
        <v>12000</v>
      </c>
      <c r="E13" s="545"/>
      <c r="F13" s="545"/>
      <c r="G13" s="545"/>
      <c r="H13" s="545"/>
    </row>
    <row r="14" spans="1:8" ht="18" customHeight="1">
      <c r="A14" s="193"/>
      <c r="B14" s="68"/>
      <c r="C14" s="69" t="s">
        <v>47</v>
      </c>
      <c r="D14" s="215">
        <f>SUM(D15:D20)</f>
        <v>55500</v>
      </c>
      <c r="E14" s="545"/>
      <c r="F14" s="545"/>
      <c r="G14" s="545"/>
      <c r="H14" s="545"/>
    </row>
    <row r="15" spans="1:8" ht="32.25" customHeight="1">
      <c r="A15" s="193"/>
      <c r="B15" s="68"/>
      <c r="C15" s="69" t="s">
        <v>48</v>
      </c>
      <c r="D15" s="215">
        <v>9000</v>
      </c>
      <c r="E15" s="545"/>
      <c r="F15" s="545"/>
      <c r="G15" s="545"/>
      <c r="H15" s="545"/>
    </row>
    <row r="16" spans="1:8" ht="18" customHeight="1">
      <c r="A16" s="193"/>
      <c r="B16" s="68"/>
      <c r="C16" s="69" t="s">
        <v>49</v>
      </c>
      <c r="D16" s="215">
        <v>8000</v>
      </c>
      <c r="E16" s="545"/>
      <c r="F16" s="545"/>
      <c r="G16" s="545"/>
      <c r="H16" s="545"/>
    </row>
    <row r="17" spans="1:8" ht="35.25" customHeight="1">
      <c r="A17" s="193"/>
      <c r="B17" s="68"/>
      <c r="C17" s="69" t="s">
        <v>50</v>
      </c>
      <c r="D17" s="215">
        <v>2500</v>
      </c>
      <c r="E17" s="545"/>
      <c r="F17" s="545"/>
      <c r="G17" s="545"/>
      <c r="H17" s="545"/>
    </row>
    <row r="18" spans="1:8" ht="18" customHeight="1">
      <c r="A18" s="193"/>
      <c r="B18" s="68"/>
      <c r="C18" s="69" t="s">
        <v>51</v>
      </c>
      <c r="D18" s="215">
        <v>6000</v>
      </c>
      <c r="E18" s="545"/>
      <c r="F18" s="545"/>
      <c r="G18" s="545"/>
      <c r="H18" s="545"/>
    </row>
    <row r="19" spans="1:8" ht="18" customHeight="1">
      <c r="A19" s="193"/>
      <c r="B19" s="68"/>
      <c r="C19" s="69" t="s">
        <v>52</v>
      </c>
      <c r="D19" s="215">
        <v>14000</v>
      </c>
      <c r="E19" s="545"/>
      <c r="F19" s="545"/>
      <c r="G19" s="545"/>
      <c r="H19" s="545"/>
    </row>
    <row r="20" spans="1:8" ht="32.25" customHeight="1">
      <c r="A20" s="193"/>
      <c r="B20" s="68"/>
      <c r="C20" s="69" t="s">
        <v>53</v>
      </c>
      <c r="D20" s="215">
        <v>16000</v>
      </c>
      <c r="E20" s="545"/>
      <c r="F20" s="545"/>
      <c r="G20" s="545"/>
      <c r="H20" s="545"/>
    </row>
    <row r="21" spans="1:8" ht="18" customHeight="1">
      <c r="A21" s="193"/>
      <c r="B21" s="68"/>
      <c r="C21" s="69" t="s">
        <v>54</v>
      </c>
      <c r="D21" s="215">
        <f>D22+D23</f>
        <v>34000</v>
      </c>
      <c r="E21" s="545"/>
      <c r="F21" s="545"/>
      <c r="G21" s="545"/>
      <c r="H21" s="545"/>
    </row>
    <row r="22" spans="1:8" ht="18" customHeight="1">
      <c r="A22" s="193"/>
      <c r="B22" s="68"/>
      <c r="C22" s="69" t="s">
        <v>55</v>
      </c>
      <c r="D22" s="215">
        <v>16000</v>
      </c>
      <c r="E22" s="545"/>
      <c r="F22" s="545"/>
      <c r="G22" s="545"/>
      <c r="H22" s="545"/>
    </row>
    <row r="23" spans="1:8" ht="18" customHeight="1">
      <c r="A23" s="193"/>
      <c r="B23" s="68"/>
      <c r="C23" s="69" t="s">
        <v>56</v>
      </c>
      <c r="D23" s="215">
        <v>18000</v>
      </c>
      <c r="E23" s="545"/>
      <c r="F23" s="545"/>
      <c r="G23" s="545"/>
      <c r="H23" s="545"/>
    </row>
    <row r="24" spans="1:8" ht="18" customHeight="1">
      <c r="A24" s="170" t="s">
        <v>39</v>
      </c>
      <c r="B24" s="546" t="s">
        <v>757</v>
      </c>
      <c r="C24" s="552" t="s">
        <v>748</v>
      </c>
      <c r="D24" s="553">
        <f>D6+D7-D11</f>
        <v>0</v>
      </c>
      <c r="E24" s="545"/>
      <c r="F24" s="545"/>
      <c r="G24" s="545"/>
      <c r="H24" s="545"/>
    </row>
    <row r="25" spans="1:8" ht="15.75">
      <c r="A25" s="545"/>
      <c r="B25" s="549"/>
      <c r="C25" s="555"/>
      <c r="D25" s="556"/>
      <c r="E25" s="545"/>
      <c r="F25" s="545"/>
      <c r="G25" s="545"/>
      <c r="H25" s="545"/>
    </row>
    <row r="26" spans="1:8" ht="15.75">
      <c r="A26" s="545"/>
      <c r="B26" s="549"/>
      <c r="C26" s="555"/>
      <c r="D26" s="556"/>
      <c r="E26" s="545"/>
      <c r="F26" s="545"/>
      <c r="G26" s="545"/>
      <c r="H26" s="545"/>
    </row>
    <row r="27" spans="1:8" ht="15.75">
      <c r="A27" s="545"/>
      <c r="B27" s="549"/>
      <c r="C27" s="555"/>
      <c r="D27" s="556"/>
      <c r="E27" s="545"/>
      <c r="F27" s="545"/>
      <c r="G27" s="545"/>
      <c r="H27" s="545"/>
    </row>
    <row r="28" spans="1:8" ht="15.75">
      <c r="A28" s="545"/>
      <c r="B28" s="549"/>
      <c r="C28" s="555"/>
      <c r="D28" s="556"/>
      <c r="E28" s="545"/>
      <c r="F28" s="545"/>
      <c r="G28" s="545"/>
      <c r="H28" s="545"/>
    </row>
    <row r="29" spans="1:8" ht="15.75">
      <c r="A29" s="545"/>
      <c r="B29" s="549"/>
      <c r="C29" s="555"/>
      <c r="D29" s="556"/>
      <c r="E29" s="545"/>
      <c r="F29" s="545"/>
      <c r="G29" s="545"/>
      <c r="H29" s="545"/>
    </row>
    <row r="30" spans="1:8" ht="15.75">
      <c r="A30" s="545"/>
      <c r="B30" s="549"/>
      <c r="C30" s="555"/>
      <c r="D30" s="556"/>
      <c r="E30" s="545"/>
      <c r="F30" s="545"/>
      <c r="G30" s="545"/>
      <c r="H30" s="545"/>
    </row>
  </sheetData>
  <mergeCells count="5">
    <mergeCell ref="A1:D1"/>
    <mergeCell ref="A2:D2"/>
    <mergeCell ref="A4:A5"/>
    <mergeCell ref="B4:B5"/>
    <mergeCell ref="D4:D5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portrait" paperSize="9" scale="95" r:id="rId1"/>
  <headerFooter alignWithMargins="0">
    <oddFooter>&amp;C&amp;"Times New Roman,Normalny"&amp;12Strona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showGridLines="0" defaultGridColor="0" view="pageBreakPreview" zoomScale="90" zoomScaleSheetLayoutView="90" colorId="15" workbookViewId="0" topLeftCell="A10">
      <selection activeCell="D9" sqref="D9"/>
    </sheetView>
  </sheetViews>
  <sheetFormatPr defaultColWidth="9.00390625" defaultRowHeight="12.75" customHeight="1"/>
  <cols>
    <col min="1" max="1" width="4.75390625" style="557" customWidth="1"/>
    <col min="2" max="2" width="40.125" style="557" customWidth="1"/>
    <col min="3" max="3" width="19.125" style="557" customWidth="1"/>
    <col min="4" max="4" width="17.125" style="557" customWidth="1"/>
    <col min="5" max="16384" width="9.125" style="557" customWidth="1"/>
  </cols>
  <sheetData>
    <row r="1" spans="1:4" ht="15" customHeight="1">
      <c r="A1" s="828" t="s">
        <v>57</v>
      </c>
      <c r="B1" s="828"/>
      <c r="C1" s="828"/>
      <c r="D1" s="828"/>
    </row>
    <row r="2" spans="1:4" ht="15" customHeight="1">
      <c r="A2" s="558"/>
      <c r="D2" s="559"/>
    </row>
    <row r="3" spans="1:7" ht="57" customHeight="1">
      <c r="A3" s="829" t="s">
        <v>58</v>
      </c>
      <c r="B3" s="829"/>
      <c r="C3" s="829"/>
      <c r="D3" s="829"/>
      <c r="G3" s="560"/>
    </row>
    <row r="4" ht="9.75" customHeight="1">
      <c r="D4" s="561" t="s">
        <v>274</v>
      </c>
    </row>
    <row r="5" spans="1:4" ht="64.5" customHeight="1">
      <c r="A5" s="562" t="s">
        <v>27</v>
      </c>
      <c r="B5" s="562" t="s">
        <v>59</v>
      </c>
      <c r="C5" s="563" t="s">
        <v>60</v>
      </c>
      <c r="D5" s="563" t="s">
        <v>61</v>
      </c>
    </row>
    <row r="6" spans="1:4" ht="10.5" customHeight="1">
      <c r="A6" s="564">
        <v>1</v>
      </c>
      <c r="B6" s="564">
        <v>2</v>
      </c>
      <c r="C6" s="564">
        <v>3</v>
      </c>
      <c r="D6" s="564">
        <v>4</v>
      </c>
    </row>
    <row r="7" spans="1:4" ht="18.75" customHeight="1">
      <c r="A7" s="830" t="s">
        <v>62</v>
      </c>
      <c r="B7" s="830"/>
      <c r="C7" s="564"/>
      <c r="D7" s="565">
        <f>SUM(D8:D15)</f>
        <v>12612514.535178997</v>
      </c>
    </row>
    <row r="8" spans="1:4" ht="18.75" customHeight="1">
      <c r="A8" s="566" t="s">
        <v>30</v>
      </c>
      <c r="B8" s="567" t="s">
        <v>63</v>
      </c>
      <c r="C8" s="566" t="s">
        <v>64</v>
      </c>
      <c r="D8" s="568">
        <f>uchwała!B30</f>
        <v>9207591.535178997</v>
      </c>
    </row>
    <row r="9" spans="1:4" ht="18.75" customHeight="1">
      <c r="A9" s="569" t="s">
        <v>32</v>
      </c>
      <c r="B9" s="570" t="s">
        <v>65</v>
      </c>
      <c r="C9" s="569" t="s">
        <v>64</v>
      </c>
      <c r="D9" s="571"/>
    </row>
    <row r="10" spans="1:4" ht="66" customHeight="1">
      <c r="A10" s="569" t="s">
        <v>33</v>
      </c>
      <c r="B10" s="572" t="s">
        <v>66</v>
      </c>
      <c r="C10" s="569" t="s">
        <v>67</v>
      </c>
      <c r="D10" s="571"/>
    </row>
    <row r="11" spans="1:4" ht="18.75" customHeight="1">
      <c r="A11" s="569" t="s">
        <v>68</v>
      </c>
      <c r="B11" s="570" t="s">
        <v>69</v>
      </c>
      <c r="C11" s="569" t="s">
        <v>70</v>
      </c>
      <c r="D11" s="571">
        <f>'[1]Prognoza_2'!F20</f>
        <v>3768</v>
      </c>
    </row>
    <row r="12" spans="1:4" ht="18.75" customHeight="1">
      <c r="A12" s="569" t="s">
        <v>71</v>
      </c>
      <c r="B12" s="570" t="s">
        <v>72</v>
      </c>
      <c r="C12" s="569" t="s">
        <v>73</v>
      </c>
      <c r="D12" s="571"/>
    </row>
    <row r="13" spans="1:4" ht="18.75" customHeight="1">
      <c r="A13" s="569" t="s">
        <v>74</v>
      </c>
      <c r="B13" s="570" t="s">
        <v>75</v>
      </c>
      <c r="C13" s="569" t="s">
        <v>76</v>
      </c>
      <c r="D13" s="571"/>
    </row>
    <row r="14" spans="1:4" ht="18.75" customHeight="1">
      <c r="A14" s="569" t="s">
        <v>77</v>
      </c>
      <c r="B14" s="570" t="s">
        <v>78</v>
      </c>
      <c r="C14" s="569" t="s">
        <v>79</v>
      </c>
      <c r="D14" s="571"/>
    </row>
    <row r="15" spans="1:4" ht="18.75" customHeight="1">
      <c r="A15" s="569" t="s">
        <v>80</v>
      </c>
      <c r="B15" s="573" t="s">
        <v>81</v>
      </c>
      <c r="C15" s="574" t="s">
        <v>82</v>
      </c>
      <c r="D15" s="575">
        <f>'[1]Prognoza_2'!F21</f>
        <v>3401155</v>
      </c>
    </row>
    <row r="16" spans="1:4" ht="18.75" customHeight="1">
      <c r="A16" s="830" t="s">
        <v>83</v>
      </c>
      <c r="B16" s="830"/>
      <c r="C16" s="564"/>
      <c r="D16" s="565">
        <f>SUM(D17:D23)</f>
        <v>908113.84</v>
      </c>
    </row>
    <row r="17" spans="1:4" ht="18.75" customHeight="1">
      <c r="A17" s="566" t="s">
        <v>30</v>
      </c>
      <c r="B17" s="567" t="s">
        <v>84</v>
      </c>
      <c r="C17" s="566" t="s">
        <v>85</v>
      </c>
      <c r="D17" s="568">
        <f>'[1]Prognoza_2'!F29</f>
        <v>908113.84</v>
      </c>
    </row>
    <row r="18" spans="1:4" ht="18.75" customHeight="1">
      <c r="A18" s="569" t="s">
        <v>32</v>
      </c>
      <c r="B18" s="570" t="s">
        <v>86</v>
      </c>
      <c r="C18" s="569" t="s">
        <v>85</v>
      </c>
      <c r="D18" s="571"/>
    </row>
    <row r="19" spans="1:4" ht="43.5" customHeight="1">
      <c r="A19" s="569" t="s">
        <v>33</v>
      </c>
      <c r="B19" s="572" t="s">
        <v>87</v>
      </c>
      <c r="C19" s="569" t="s">
        <v>88</v>
      </c>
      <c r="D19" s="571"/>
    </row>
    <row r="20" spans="1:4" ht="18.75" customHeight="1">
      <c r="A20" s="569" t="s">
        <v>68</v>
      </c>
      <c r="B20" s="570" t="s">
        <v>89</v>
      </c>
      <c r="C20" s="569" t="s">
        <v>90</v>
      </c>
      <c r="D20" s="571"/>
    </row>
    <row r="21" spans="1:4" ht="18.75" customHeight="1">
      <c r="A21" s="569" t="s">
        <v>71</v>
      </c>
      <c r="B21" s="570" t="s">
        <v>91</v>
      </c>
      <c r="C21" s="569" t="s">
        <v>92</v>
      </c>
      <c r="D21" s="571"/>
    </row>
    <row r="22" spans="1:4" ht="18.75" customHeight="1">
      <c r="A22" s="569" t="s">
        <v>74</v>
      </c>
      <c r="B22" s="570" t="s">
        <v>93</v>
      </c>
      <c r="C22" s="569" t="s">
        <v>94</v>
      </c>
      <c r="D22" s="571"/>
    </row>
    <row r="23" spans="1:4" ht="18.75" customHeight="1">
      <c r="A23" s="574" t="s">
        <v>77</v>
      </c>
      <c r="B23" s="573" t="s">
        <v>95</v>
      </c>
      <c r="C23" s="574" t="s">
        <v>96</v>
      </c>
      <c r="D23" s="575"/>
    </row>
    <row r="24" spans="1:4" ht="15" customHeight="1">
      <c r="A24" s="576"/>
      <c r="B24" s="577"/>
      <c r="C24" s="577"/>
      <c r="D24" s="577"/>
    </row>
    <row r="25" spans="1:4" ht="12.75" customHeight="1">
      <c r="A25" s="578"/>
      <c r="B25" s="579"/>
      <c r="C25" s="579"/>
      <c r="D25" s="579"/>
    </row>
  </sheetData>
  <mergeCells count="4">
    <mergeCell ref="A1:D1"/>
    <mergeCell ref="A3:D3"/>
    <mergeCell ref="A7:B7"/>
    <mergeCell ref="A16:B16"/>
  </mergeCells>
  <printOptions/>
  <pageMargins left="0.7875" right="0.7875" top="0.7875" bottom="1.0527777777777778" header="0.5118055555555556" footer="0.7875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21"/>
  <sheetViews>
    <sheetView showGridLines="0" defaultGridColor="0" view="pageBreakPreview" zoomScale="90" zoomScaleSheetLayoutView="90" colorId="15" workbookViewId="0" topLeftCell="A19">
      <selection activeCell="A1" sqref="A1:G1"/>
    </sheetView>
  </sheetViews>
  <sheetFormatPr defaultColWidth="9.00390625" defaultRowHeight="12.75"/>
  <cols>
    <col min="1" max="1" width="5.00390625" style="580" customWidth="1"/>
    <col min="2" max="2" width="7.125" style="580" customWidth="1"/>
    <col min="3" max="3" width="0" style="580" hidden="1" customWidth="1"/>
    <col min="4" max="4" width="45.875" style="580" customWidth="1"/>
    <col min="5" max="5" width="10.00390625" style="580" customWidth="1"/>
    <col min="6" max="6" width="10.875" style="557" customWidth="1"/>
    <col min="7" max="7" width="10.625" style="557" customWidth="1"/>
    <col min="8" max="16384" width="8.75390625" style="580" customWidth="1"/>
  </cols>
  <sheetData>
    <row r="1" spans="1:7" ht="15" customHeight="1">
      <c r="A1" s="831" t="s">
        <v>97</v>
      </c>
      <c r="B1" s="831"/>
      <c r="C1" s="831"/>
      <c r="D1" s="831"/>
      <c r="E1" s="831"/>
      <c r="F1" s="831"/>
      <c r="G1" s="831"/>
    </row>
    <row r="2" spans="1:7" ht="15.75">
      <c r="A2" s="581"/>
      <c r="F2" s="582"/>
      <c r="G2" s="582"/>
    </row>
    <row r="3" spans="1:7" ht="42.75" customHeight="1">
      <c r="A3" s="829" t="s">
        <v>98</v>
      </c>
      <c r="B3" s="829"/>
      <c r="C3" s="829"/>
      <c r="D3" s="829"/>
      <c r="E3" s="829"/>
      <c r="F3" s="829"/>
      <c r="G3" s="829"/>
    </row>
    <row r="4" spans="1:7" ht="15.75">
      <c r="A4" s="583"/>
      <c r="B4" s="583"/>
      <c r="C4" s="583"/>
      <c r="D4" s="583"/>
      <c r="E4" s="583"/>
      <c r="F4" s="583"/>
      <c r="G4" s="561" t="s">
        <v>274</v>
      </c>
    </row>
    <row r="5" spans="1:7" ht="15.75" customHeight="1">
      <c r="A5" s="832" t="s">
        <v>275</v>
      </c>
      <c r="B5" s="832" t="s">
        <v>296</v>
      </c>
      <c r="C5" s="832" t="s">
        <v>297</v>
      </c>
      <c r="D5" s="832" t="s">
        <v>99</v>
      </c>
      <c r="E5" s="832" t="s">
        <v>100</v>
      </c>
      <c r="F5" s="832" t="s">
        <v>300</v>
      </c>
      <c r="G5" s="832"/>
    </row>
    <row r="6" spans="1:7" s="585" customFormat="1" ht="52.5" customHeight="1">
      <c r="A6" s="832"/>
      <c r="B6" s="832"/>
      <c r="C6" s="832"/>
      <c r="D6" s="832"/>
      <c r="E6" s="832"/>
      <c r="F6" s="584" t="s">
        <v>101</v>
      </c>
      <c r="G6" s="584" t="s">
        <v>102</v>
      </c>
    </row>
    <row r="7" spans="1:7" s="587" customFormat="1" ht="12.75">
      <c r="A7" s="586">
        <v>1</v>
      </c>
      <c r="B7" s="586">
        <v>2</v>
      </c>
      <c r="C7" s="586">
        <v>3</v>
      </c>
      <c r="D7" s="586">
        <v>4</v>
      </c>
      <c r="E7" s="586">
        <v>5</v>
      </c>
      <c r="F7" s="586">
        <v>6</v>
      </c>
      <c r="G7" s="586">
        <v>7</v>
      </c>
    </row>
    <row r="8" spans="1:7" s="590" customFormat="1" ht="15.75" customHeight="1">
      <c r="A8" s="833" t="s">
        <v>103</v>
      </c>
      <c r="B8" s="833"/>
      <c r="C8" s="833"/>
      <c r="D8" s="833"/>
      <c r="E8" s="588">
        <f>E9+E11+E13</f>
        <v>9569</v>
      </c>
      <c r="F8" s="588">
        <f>F9+F11+F13</f>
        <v>9569</v>
      </c>
      <c r="G8" s="589">
        <f>G9+G11+G13</f>
        <v>0</v>
      </c>
    </row>
    <row r="9" spans="1:7" ht="31.5">
      <c r="A9" s="508">
        <v>900</v>
      </c>
      <c r="B9" s="508"/>
      <c r="C9" s="508"/>
      <c r="D9" s="591" t="s">
        <v>616</v>
      </c>
      <c r="E9" s="592">
        <f>E10</f>
        <v>3569</v>
      </c>
      <c r="F9" s="592">
        <f>F10</f>
        <v>3569</v>
      </c>
      <c r="G9" s="593">
        <f>G10</f>
        <v>0</v>
      </c>
    </row>
    <row r="10" spans="1:7" ht="15.75">
      <c r="A10" s="511"/>
      <c r="B10" s="511">
        <v>90095</v>
      </c>
      <c r="C10" s="511"/>
      <c r="D10" s="594" t="s">
        <v>306</v>
      </c>
      <c r="E10" s="595">
        <f>F10+G10</f>
        <v>3569</v>
      </c>
      <c r="F10" s="530">
        <f>2500+1069</f>
        <v>3569</v>
      </c>
      <c r="G10" s="596"/>
    </row>
    <row r="11" spans="1:7" ht="15.75">
      <c r="A11" s="508">
        <v>921</v>
      </c>
      <c r="B11" s="508"/>
      <c r="C11" s="508"/>
      <c r="D11" s="591" t="s">
        <v>428</v>
      </c>
      <c r="E11" s="592">
        <f>E12</f>
        <v>3500</v>
      </c>
      <c r="F11" s="592">
        <f>F12</f>
        <v>3500</v>
      </c>
      <c r="G11" s="593">
        <f>G12</f>
        <v>0</v>
      </c>
    </row>
    <row r="12" spans="1:7" ht="15.75">
      <c r="A12" s="511"/>
      <c r="B12" s="511">
        <v>92195</v>
      </c>
      <c r="C12" s="511"/>
      <c r="D12" s="594" t="s">
        <v>306</v>
      </c>
      <c r="E12" s="595">
        <f>F12+G12</f>
        <v>3500</v>
      </c>
      <c r="F12" s="595">
        <f>600+500+600+500+400+500+400</f>
        <v>3500</v>
      </c>
      <c r="G12" s="595"/>
    </row>
    <row r="13" spans="1:7" ht="15.75">
      <c r="A13" s="508">
        <v>926</v>
      </c>
      <c r="B13" s="508"/>
      <c r="C13" s="508"/>
      <c r="D13" s="591" t="s">
        <v>431</v>
      </c>
      <c r="E13" s="592">
        <f>F13+G13</f>
        <v>2500</v>
      </c>
      <c r="F13" s="510">
        <f>SUM(F14)</f>
        <v>2500</v>
      </c>
      <c r="G13" s="510">
        <f>SUM(G14)</f>
        <v>0</v>
      </c>
    </row>
    <row r="14" spans="1:7" ht="15.75">
      <c r="A14" s="511"/>
      <c r="B14" s="511">
        <v>92695</v>
      </c>
      <c r="C14" s="511"/>
      <c r="D14" s="594" t="s">
        <v>306</v>
      </c>
      <c r="E14" s="595">
        <f>F14+G14</f>
        <v>2500</v>
      </c>
      <c r="F14" s="530">
        <f>1500+1000</f>
        <v>2500</v>
      </c>
      <c r="G14" s="595"/>
    </row>
    <row r="15" spans="1:7" s="585" customFormat="1" ht="15.75" customHeight="1">
      <c r="A15" s="833" t="s">
        <v>104</v>
      </c>
      <c r="B15" s="833"/>
      <c r="C15" s="833"/>
      <c r="D15" s="833"/>
      <c r="E15" s="588">
        <f>E16+E18</f>
        <v>7020</v>
      </c>
      <c r="F15" s="588">
        <f>F16+F18</f>
        <v>7020</v>
      </c>
      <c r="G15" s="589">
        <f>G16+G18</f>
        <v>0</v>
      </c>
    </row>
    <row r="16" spans="1:7" ht="31.5">
      <c r="A16" s="508">
        <v>900</v>
      </c>
      <c r="B16" s="508"/>
      <c r="C16" s="508"/>
      <c r="D16" s="591" t="s">
        <v>616</v>
      </c>
      <c r="E16" s="592">
        <f>E17</f>
        <v>1600</v>
      </c>
      <c r="F16" s="592">
        <f>F17</f>
        <v>1600</v>
      </c>
      <c r="G16" s="593">
        <f>G17</f>
        <v>0</v>
      </c>
    </row>
    <row r="17" spans="1:7" ht="15.75">
      <c r="A17" s="511"/>
      <c r="B17" s="511">
        <v>90004</v>
      </c>
      <c r="C17" s="511"/>
      <c r="D17" s="597" t="s">
        <v>619</v>
      </c>
      <c r="E17" s="595">
        <f>F17+G17</f>
        <v>1600</v>
      </c>
      <c r="F17" s="530">
        <v>1600</v>
      </c>
      <c r="G17" s="596"/>
    </row>
    <row r="18" spans="1:7" ht="15.75">
      <c r="A18" s="508">
        <v>921</v>
      </c>
      <c r="B18" s="508"/>
      <c r="C18" s="508"/>
      <c r="D18" s="591" t="s">
        <v>428</v>
      </c>
      <c r="E18" s="592">
        <f>E20+E19</f>
        <v>5420</v>
      </c>
      <c r="F18" s="592">
        <f>F20+F19</f>
        <v>5420</v>
      </c>
      <c r="G18" s="593">
        <f>G20+G19</f>
        <v>0</v>
      </c>
    </row>
    <row r="19" spans="1:7" ht="15.75">
      <c r="A19" s="508"/>
      <c r="B19" s="598">
        <v>92109</v>
      </c>
      <c r="C19" s="598"/>
      <c r="D19" s="597" t="s">
        <v>429</v>
      </c>
      <c r="E19" s="595">
        <f>F19+G19</f>
        <v>3120</v>
      </c>
      <c r="F19" s="595">
        <f>2500+620</f>
        <v>3120</v>
      </c>
      <c r="G19" s="593"/>
    </row>
    <row r="20" spans="1:7" ht="15.75">
      <c r="A20" s="511"/>
      <c r="B20" s="511">
        <v>92195</v>
      </c>
      <c r="C20" s="511"/>
      <c r="D20" s="594" t="s">
        <v>306</v>
      </c>
      <c r="E20" s="595">
        <f>F20+G20</f>
        <v>2300</v>
      </c>
      <c r="F20" s="595">
        <f>300+250+400+350+1000</f>
        <v>2300</v>
      </c>
      <c r="G20" s="595"/>
    </row>
    <row r="21" spans="1:7" s="585" customFormat="1" ht="15.75" customHeight="1">
      <c r="A21" s="833" t="s">
        <v>105</v>
      </c>
      <c r="B21" s="833"/>
      <c r="C21" s="833"/>
      <c r="D21" s="833"/>
      <c r="E21" s="588">
        <f aca="true" t="shared" si="0" ref="E21:G22">E22</f>
        <v>5477</v>
      </c>
      <c r="F21" s="588">
        <f t="shared" si="0"/>
        <v>5477</v>
      </c>
      <c r="G21" s="589">
        <f t="shared" si="0"/>
        <v>0</v>
      </c>
    </row>
    <row r="22" spans="1:7" ht="31.5">
      <c r="A22" s="508">
        <v>900</v>
      </c>
      <c r="B22" s="508"/>
      <c r="C22" s="508"/>
      <c r="D22" s="591" t="s">
        <v>616</v>
      </c>
      <c r="E22" s="592">
        <f t="shared" si="0"/>
        <v>5477</v>
      </c>
      <c r="F22" s="592">
        <f t="shared" si="0"/>
        <v>5477</v>
      </c>
      <c r="G22" s="593">
        <f t="shared" si="0"/>
        <v>0</v>
      </c>
    </row>
    <row r="23" spans="1:7" ht="15.75">
      <c r="A23" s="511"/>
      <c r="B23" s="598">
        <v>90015</v>
      </c>
      <c r="C23" s="598"/>
      <c r="D23" s="597" t="s">
        <v>621</v>
      </c>
      <c r="E23" s="595">
        <f>F23+G23</f>
        <v>5477</v>
      </c>
      <c r="F23" s="530">
        <v>5477</v>
      </c>
      <c r="G23" s="596"/>
    </row>
    <row r="24" spans="1:7" s="585" customFormat="1" ht="15.75" customHeight="1">
      <c r="A24" s="833" t="s">
        <v>106</v>
      </c>
      <c r="B24" s="833"/>
      <c r="C24" s="833"/>
      <c r="D24" s="833"/>
      <c r="E24" s="588">
        <f>E25</f>
        <v>4400</v>
      </c>
      <c r="F24" s="588">
        <f>F25</f>
        <v>4400</v>
      </c>
      <c r="G24" s="589">
        <f>G25</f>
        <v>0</v>
      </c>
    </row>
    <row r="25" spans="1:7" ht="15.75">
      <c r="A25" s="508">
        <v>921</v>
      </c>
      <c r="B25" s="508"/>
      <c r="C25" s="508"/>
      <c r="D25" s="591" t="s">
        <v>428</v>
      </c>
      <c r="E25" s="592">
        <f>E27+E26</f>
        <v>4400</v>
      </c>
      <c r="F25" s="592">
        <f>F27+F26</f>
        <v>4400</v>
      </c>
      <c r="G25" s="593">
        <f>G27+G26</f>
        <v>0</v>
      </c>
    </row>
    <row r="26" spans="1:7" ht="15.75">
      <c r="A26" s="508"/>
      <c r="B26" s="598">
        <v>92109</v>
      </c>
      <c r="C26" s="598"/>
      <c r="D26" s="597" t="s">
        <v>429</v>
      </c>
      <c r="E26" s="595">
        <f>F26+G26</f>
        <v>3000</v>
      </c>
      <c r="F26" s="595">
        <f>2500+500</f>
        <v>3000</v>
      </c>
      <c r="G26" s="593"/>
    </row>
    <row r="27" spans="1:7" ht="15.75">
      <c r="A27" s="511"/>
      <c r="B27" s="511">
        <v>92195</v>
      </c>
      <c r="C27" s="511"/>
      <c r="D27" s="594" t="s">
        <v>306</v>
      </c>
      <c r="E27" s="595">
        <f>F27+G27</f>
        <v>1400</v>
      </c>
      <c r="F27" s="595">
        <f>300+200+500+400</f>
        <v>1400</v>
      </c>
      <c r="G27" s="595"/>
    </row>
    <row r="28" spans="1:7" s="585" customFormat="1" ht="15.75" customHeight="1">
      <c r="A28" s="833" t="s">
        <v>107</v>
      </c>
      <c r="B28" s="833"/>
      <c r="C28" s="833"/>
      <c r="D28" s="833"/>
      <c r="E28" s="588">
        <f>E29+E32</f>
        <v>8345</v>
      </c>
      <c r="F28" s="588">
        <f>F29+F32</f>
        <v>8345</v>
      </c>
      <c r="G28" s="589">
        <f>G29</f>
        <v>0</v>
      </c>
    </row>
    <row r="29" spans="1:7" ht="15.75">
      <c r="A29" s="508">
        <v>921</v>
      </c>
      <c r="B29" s="508"/>
      <c r="C29" s="508"/>
      <c r="D29" s="591" t="s">
        <v>428</v>
      </c>
      <c r="E29" s="592">
        <f>E31+E30</f>
        <v>8145</v>
      </c>
      <c r="F29" s="592">
        <f>F31+F30</f>
        <v>8145</v>
      </c>
      <c r="G29" s="593">
        <f>G31+G30</f>
        <v>0</v>
      </c>
    </row>
    <row r="30" spans="1:7" ht="15.75">
      <c r="A30" s="508"/>
      <c r="B30" s="598">
        <v>92109</v>
      </c>
      <c r="C30" s="598"/>
      <c r="D30" s="597" t="s">
        <v>429</v>
      </c>
      <c r="E30" s="595">
        <f>F30+G30</f>
        <v>6045</v>
      </c>
      <c r="F30" s="595">
        <f>300+4800+445+500</f>
        <v>6045</v>
      </c>
      <c r="G30" s="599"/>
    </row>
    <row r="31" spans="1:7" ht="15.75">
      <c r="A31" s="511"/>
      <c r="B31" s="511">
        <v>92195</v>
      </c>
      <c r="C31" s="511"/>
      <c r="D31" s="594" t="s">
        <v>306</v>
      </c>
      <c r="E31" s="595">
        <f>F31+G31</f>
        <v>2100</v>
      </c>
      <c r="F31" s="595">
        <f>300+200+300+500+200+300+300</f>
        <v>2100</v>
      </c>
      <c r="G31" s="595"/>
    </row>
    <row r="32" spans="1:7" ht="15.75">
      <c r="A32" s="508">
        <v>926</v>
      </c>
      <c r="B32" s="508"/>
      <c r="C32" s="508"/>
      <c r="D32" s="591" t="s">
        <v>431</v>
      </c>
      <c r="E32" s="592">
        <f>F32+G32</f>
        <v>200</v>
      </c>
      <c r="F32" s="510">
        <f>SUM(F33)</f>
        <v>200</v>
      </c>
      <c r="G32" s="510">
        <f>SUM(G33)</f>
        <v>0</v>
      </c>
    </row>
    <row r="33" spans="1:7" ht="15.75">
      <c r="A33" s="511"/>
      <c r="B33" s="511">
        <v>92695</v>
      </c>
      <c r="C33" s="511"/>
      <c r="D33" s="594" t="s">
        <v>306</v>
      </c>
      <c r="E33" s="595">
        <f>F33+G33</f>
        <v>200</v>
      </c>
      <c r="F33" s="530">
        <v>200</v>
      </c>
      <c r="G33" s="595"/>
    </row>
    <row r="34" spans="1:7" s="585" customFormat="1" ht="15.75" customHeight="1">
      <c r="A34" s="833" t="s">
        <v>108</v>
      </c>
      <c r="B34" s="833"/>
      <c r="C34" s="833"/>
      <c r="D34" s="833"/>
      <c r="E34" s="588">
        <f>E35+E37+E39</f>
        <v>10043</v>
      </c>
      <c r="F34" s="588">
        <f>F35+F37+F39</f>
        <v>10043</v>
      </c>
      <c r="G34" s="589">
        <f>G35+G37+G39</f>
        <v>0</v>
      </c>
    </row>
    <row r="35" spans="1:7" ht="31.5">
      <c r="A35" s="508">
        <v>900</v>
      </c>
      <c r="B35" s="508"/>
      <c r="C35" s="508"/>
      <c r="D35" s="591" t="s">
        <v>616</v>
      </c>
      <c r="E35" s="592">
        <f>E36</f>
        <v>5000</v>
      </c>
      <c r="F35" s="592">
        <f>F36</f>
        <v>5000</v>
      </c>
      <c r="G35" s="593">
        <f>G36</f>
        <v>0</v>
      </c>
    </row>
    <row r="36" spans="1:7" ht="15.75">
      <c r="A36" s="511"/>
      <c r="B36" s="511">
        <v>90004</v>
      </c>
      <c r="C36" s="511"/>
      <c r="D36" s="597" t="s">
        <v>619</v>
      </c>
      <c r="E36" s="595">
        <f>F36+G36</f>
        <v>5000</v>
      </c>
      <c r="F36" s="530">
        <v>5000</v>
      </c>
      <c r="G36" s="596"/>
    </row>
    <row r="37" spans="1:7" ht="15.75">
      <c r="A37" s="508">
        <v>921</v>
      </c>
      <c r="B37" s="508"/>
      <c r="C37" s="508"/>
      <c r="D37" s="591" t="s">
        <v>428</v>
      </c>
      <c r="E37" s="592">
        <f>E38</f>
        <v>4794</v>
      </c>
      <c r="F37" s="592">
        <f>F38</f>
        <v>4794</v>
      </c>
      <c r="G37" s="593">
        <f>G38</f>
        <v>0</v>
      </c>
    </row>
    <row r="38" spans="1:7" ht="15.75">
      <c r="A38" s="511"/>
      <c r="B38" s="511">
        <v>92195</v>
      </c>
      <c r="C38" s="511"/>
      <c r="D38" s="594" t="s">
        <v>306</v>
      </c>
      <c r="E38" s="595">
        <f>F38+G38</f>
        <v>4794</v>
      </c>
      <c r="F38" s="595">
        <f>400+800+400+300+2894</f>
        <v>4794</v>
      </c>
      <c r="G38" s="595"/>
    </row>
    <row r="39" spans="1:7" ht="15.75">
      <c r="A39" s="508">
        <v>926</v>
      </c>
      <c r="B39" s="508"/>
      <c r="C39" s="508"/>
      <c r="D39" s="591" t="s">
        <v>431</v>
      </c>
      <c r="E39" s="592">
        <f>F39+G39</f>
        <v>249</v>
      </c>
      <c r="F39" s="510">
        <f>SUM(F40)</f>
        <v>249</v>
      </c>
      <c r="G39" s="510">
        <f>SUM(G40)</f>
        <v>0</v>
      </c>
    </row>
    <row r="40" spans="1:7" ht="15.75">
      <c r="A40" s="511"/>
      <c r="B40" s="511">
        <v>92695</v>
      </c>
      <c r="C40" s="511"/>
      <c r="D40" s="594" t="s">
        <v>306</v>
      </c>
      <c r="E40" s="595">
        <f>F40+G40</f>
        <v>249</v>
      </c>
      <c r="F40" s="530">
        <v>249</v>
      </c>
      <c r="G40" s="595"/>
    </row>
    <row r="41" spans="1:7" ht="15.75">
      <c r="A41" s="600"/>
      <c r="B41" s="600"/>
      <c r="C41" s="600"/>
      <c r="D41" s="601"/>
      <c r="E41" s="602"/>
      <c r="F41" s="603"/>
      <c r="G41" s="602"/>
    </row>
    <row r="42" spans="1:7" s="585" customFormat="1" ht="15.75" customHeight="1">
      <c r="A42" s="833" t="s">
        <v>109</v>
      </c>
      <c r="B42" s="833"/>
      <c r="C42" s="833"/>
      <c r="D42" s="833"/>
      <c r="E42" s="588">
        <f>E43+E45</f>
        <v>7704</v>
      </c>
      <c r="F42" s="588">
        <f>F43+F45</f>
        <v>7704</v>
      </c>
      <c r="G42" s="589">
        <f>G43+G45</f>
        <v>0</v>
      </c>
    </row>
    <row r="43" spans="1:7" ht="31.5">
      <c r="A43" s="508">
        <v>900</v>
      </c>
      <c r="B43" s="508"/>
      <c r="C43" s="508"/>
      <c r="D43" s="591" t="s">
        <v>616</v>
      </c>
      <c r="E43" s="592">
        <f>E44</f>
        <v>6834</v>
      </c>
      <c r="F43" s="592">
        <f>F44</f>
        <v>6834</v>
      </c>
      <c r="G43" s="593">
        <f>G44</f>
        <v>0</v>
      </c>
    </row>
    <row r="44" spans="1:7" ht="15.75">
      <c r="A44" s="511"/>
      <c r="B44" s="511">
        <v>90095</v>
      </c>
      <c r="C44" s="511"/>
      <c r="D44" s="594" t="s">
        <v>306</v>
      </c>
      <c r="E44" s="595">
        <f>F44+G44</f>
        <v>6834</v>
      </c>
      <c r="F44" s="530">
        <f>5434+1400</f>
        <v>6834</v>
      </c>
      <c r="G44" s="596"/>
    </row>
    <row r="45" spans="1:7" ht="15.75">
      <c r="A45" s="508">
        <v>921</v>
      </c>
      <c r="B45" s="508"/>
      <c r="C45" s="508"/>
      <c r="D45" s="591" t="s">
        <v>428</v>
      </c>
      <c r="E45" s="592">
        <f>E46</f>
        <v>870</v>
      </c>
      <c r="F45" s="592">
        <f>F46</f>
        <v>870</v>
      </c>
      <c r="G45" s="593">
        <f>G46</f>
        <v>0</v>
      </c>
    </row>
    <row r="46" spans="1:7" ht="15.75">
      <c r="A46" s="511"/>
      <c r="B46" s="511">
        <v>92195</v>
      </c>
      <c r="C46" s="511"/>
      <c r="D46" s="594" t="s">
        <v>306</v>
      </c>
      <c r="E46" s="595">
        <f>F46+G46</f>
        <v>870</v>
      </c>
      <c r="F46" s="595">
        <f>350+270+250</f>
        <v>870</v>
      </c>
      <c r="G46" s="595"/>
    </row>
    <row r="47" spans="1:7" s="585" customFormat="1" ht="15.75" customHeight="1">
      <c r="A47" s="833" t="s">
        <v>110</v>
      </c>
      <c r="B47" s="833"/>
      <c r="C47" s="833"/>
      <c r="D47" s="833"/>
      <c r="E47" s="588">
        <f>E48+E50+E53</f>
        <v>19775</v>
      </c>
      <c r="F47" s="588">
        <f>F48+F50+F53</f>
        <v>19775</v>
      </c>
      <c r="G47" s="589">
        <f>G48+G50+G53</f>
        <v>0</v>
      </c>
    </row>
    <row r="48" spans="1:7" ht="31.5">
      <c r="A48" s="508">
        <v>900</v>
      </c>
      <c r="B48" s="508"/>
      <c r="C48" s="508"/>
      <c r="D48" s="591" t="s">
        <v>616</v>
      </c>
      <c r="E48" s="592">
        <f>E49</f>
        <v>1100</v>
      </c>
      <c r="F48" s="592">
        <f>F49</f>
        <v>1100</v>
      </c>
      <c r="G48" s="593">
        <f>G49</f>
        <v>0</v>
      </c>
    </row>
    <row r="49" spans="1:7" ht="15.75">
      <c r="A49" s="511"/>
      <c r="B49" s="511">
        <v>90004</v>
      </c>
      <c r="C49" s="511"/>
      <c r="D49" s="597" t="s">
        <v>619</v>
      </c>
      <c r="E49" s="595">
        <f>F49+G49</f>
        <v>1100</v>
      </c>
      <c r="F49" s="530">
        <f>200+900</f>
        <v>1100</v>
      </c>
      <c r="G49" s="596"/>
    </row>
    <row r="50" spans="1:7" ht="15.75">
      <c r="A50" s="508">
        <v>921</v>
      </c>
      <c r="B50" s="508"/>
      <c r="C50" s="508"/>
      <c r="D50" s="591" t="s">
        <v>428</v>
      </c>
      <c r="E50" s="592">
        <f>E52+E51</f>
        <v>16628</v>
      </c>
      <c r="F50" s="592">
        <f>F52+F51</f>
        <v>16628</v>
      </c>
      <c r="G50" s="593">
        <f>G52+G51</f>
        <v>0</v>
      </c>
    </row>
    <row r="51" spans="1:7" ht="15.75">
      <c r="A51" s="508"/>
      <c r="B51" s="598">
        <v>92109</v>
      </c>
      <c r="C51" s="598"/>
      <c r="D51" s="597" t="s">
        <v>429</v>
      </c>
      <c r="E51" s="595">
        <f>F51+G51</f>
        <v>14478</v>
      </c>
      <c r="F51" s="595">
        <f>6458+900+7120</f>
        <v>14478</v>
      </c>
      <c r="G51" s="599"/>
    </row>
    <row r="52" spans="1:7" ht="15.75">
      <c r="A52" s="511"/>
      <c r="B52" s="511">
        <v>92195</v>
      </c>
      <c r="C52" s="511"/>
      <c r="D52" s="594" t="s">
        <v>306</v>
      </c>
      <c r="E52" s="595">
        <f>F52+G52</f>
        <v>2150</v>
      </c>
      <c r="F52" s="595">
        <f>500+900+750</f>
        <v>2150</v>
      </c>
      <c r="G52" s="595"/>
    </row>
    <row r="53" spans="1:7" ht="15.75">
      <c r="A53" s="508">
        <v>926</v>
      </c>
      <c r="B53" s="508"/>
      <c r="C53" s="508"/>
      <c r="D53" s="591" t="s">
        <v>431</v>
      </c>
      <c r="E53" s="592">
        <f>F53+G53</f>
        <v>2047</v>
      </c>
      <c r="F53" s="510">
        <f>SUM(F54)</f>
        <v>2047</v>
      </c>
      <c r="G53" s="510">
        <f>SUM(G54)</f>
        <v>0</v>
      </c>
    </row>
    <row r="54" spans="1:7" ht="15.75">
      <c r="A54" s="511"/>
      <c r="B54" s="511">
        <v>92695</v>
      </c>
      <c r="C54" s="511"/>
      <c r="D54" s="594" t="s">
        <v>306</v>
      </c>
      <c r="E54" s="595">
        <f>F54+G54</f>
        <v>2047</v>
      </c>
      <c r="F54" s="530">
        <f>1647+400</f>
        <v>2047</v>
      </c>
      <c r="G54" s="595"/>
    </row>
    <row r="55" spans="1:7" s="585" customFormat="1" ht="15.75" customHeight="1">
      <c r="A55" s="833" t="s">
        <v>111</v>
      </c>
      <c r="B55" s="833"/>
      <c r="C55" s="833"/>
      <c r="D55" s="833"/>
      <c r="E55" s="588">
        <f>E58+E60+E56</f>
        <v>6585</v>
      </c>
      <c r="F55" s="588">
        <f>F58+F60+F56</f>
        <v>6585</v>
      </c>
      <c r="G55" s="589">
        <f>G58+G60+G56</f>
        <v>0</v>
      </c>
    </row>
    <row r="56" spans="1:7" ht="15.75">
      <c r="A56" s="508">
        <v>600</v>
      </c>
      <c r="B56" s="508"/>
      <c r="C56" s="604"/>
      <c r="D56" s="605" t="s">
        <v>309</v>
      </c>
      <c r="E56" s="510">
        <f>E57</f>
        <v>1000</v>
      </c>
      <c r="F56" s="510">
        <f>F57</f>
        <v>1000</v>
      </c>
      <c r="G56" s="510">
        <f>G57</f>
        <v>0</v>
      </c>
    </row>
    <row r="57" spans="1:7" ht="15.75">
      <c r="A57" s="508"/>
      <c r="B57" s="511">
        <v>60095</v>
      </c>
      <c r="C57" s="511"/>
      <c r="D57" s="606" t="s">
        <v>306</v>
      </c>
      <c r="E57" s="595">
        <f>F57+G57</f>
        <v>1000</v>
      </c>
      <c r="F57" s="607">
        <v>1000</v>
      </c>
      <c r="G57" s="190"/>
    </row>
    <row r="58" spans="1:7" ht="31.5">
      <c r="A58" s="508">
        <v>900</v>
      </c>
      <c r="B58" s="508"/>
      <c r="C58" s="508"/>
      <c r="D58" s="591" t="s">
        <v>616</v>
      </c>
      <c r="E58" s="592">
        <f>E59</f>
        <v>1000</v>
      </c>
      <c r="F58" s="592">
        <f>F59</f>
        <v>1000</v>
      </c>
      <c r="G58" s="593">
        <f>G59</f>
        <v>0</v>
      </c>
    </row>
    <row r="59" spans="1:7" ht="15.75">
      <c r="A59" s="511"/>
      <c r="B59" s="511">
        <v>90095</v>
      </c>
      <c r="C59" s="511"/>
      <c r="D59" s="594" t="s">
        <v>306</v>
      </c>
      <c r="E59" s="595">
        <f>F59+G59</f>
        <v>1000</v>
      </c>
      <c r="F59" s="530">
        <f>1000</f>
        <v>1000</v>
      </c>
      <c r="G59" s="596"/>
    </row>
    <row r="60" spans="1:7" ht="15.75">
      <c r="A60" s="508">
        <v>921</v>
      </c>
      <c r="B60" s="508"/>
      <c r="C60" s="508"/>
      <c r="D60" s="591" t="s">
        <v>428</v>
      </c>
      <c r="E60" s="592">
        <f>E62+E61</f>
        <v>4585</v>
      </c>
      <c r="F60" s="592">
        <f>F62+F61</f>
        <v>4585</v>
      </c>
      <c r="G60" s="593">
        <f>G62+G61</f>
        <v>0</v>
      </c>
    </row>
    <row r="61" spans="1:7" ht="15.75">
      <c r="A61" s="508"/>
      <c r="B61" s="598">
        <v>92109</v>
      </c>
      <c r="C61" s="598"/>
      <c r="D61" s="597" t="s">
        <v>429</v>
      </c>
      <c r="E61" s="595">
        <f>F61+G61</f>
        <v>2125</v>
      </c>
      <c r="F61" s="595">
        <v>2125</v>
      </c>
      <c r="G61" s="599"/>
    </row>
    <row r="62" spans="1:7" ht="15.75">
      <c r="A62" s="511"/>
      <c r="B62" s="511">
        <v>92195</v>
      </c>
      <c r="C62" s="511"/>
      <c r="D62" s="594" t="s">
        <v>306</v>
      </c>
      <c r="E62" s="595">
        <f>F62+G62</f>
        <v>2460</v>
      </c>
      <c r="F62" s="595">
        <f>1800+660</f>
        <v>2460</v>
      </c>
      <c r="G62" s="595"/>
    </row>
    <row r="63" spans="1:7" s="585" customFormat="1" ht="15.75" customHeight="1">
      <c r="A63" s="833" t="s">
        <v>112</v>
      </c>
      <c r="B63" s="833"/>
      <c r="C63" s="833"/>
      <c r="D63" s="833"/>
      <c r="E63" s="588">
        <f>E68+E66+E64</f>
        <v>18900</v>
      </c>
      <c r="F63" s="588">
        <f>F68+F66+F64</f>
        <v>18900</v>
      </c>
      <c r="G63" s="589">
        <f>G68+G66+G64</f>
        <v>0</v>
      </c>
    </row>
    <row r="64" spans="1:7" ht="15.75">
      <c r="A64" s="508">
        <v>600</v>
      </c>
      <c r="B64" s="508"/>
      <c r="C64" s="604"/>
      <c r="D64" s="605" t="s">
        <v>309</v>
      </c>
      <c r="E64" s="510">
        <f>E65</f>
        <v>5000</v>
      </c>
      <c r="F64" s="510">
        <f>F65</f>
        <v>5000</v>
      </c>
      <c r="G64" s="510">
        <f>G65</f>
        <v>0</v>
      </c>
    </row>
    <row r="65" spans="1:7" ht="15.75">
      <c r="A65" s="508"/>
      <c r="B65" s="598">
        <v>60016</v>
      </c>
      <c r="C65" s="608"/>
      <c r="D65" s="609" t="s">
        <v>310</v>
      </c>
      <c r="E65" s="595">
        <f>F65+G65</f>
        <v>5000</v>
      </c>
      <c r="F65" s="607">
        <v>5000</v>
      </c>
      <c r="G65" s="190"/>
    </row>
    <row r="66" spans="1:7" ht="15.75">
      <c r="A66" s="508">
        <v>921</v>
      </c>
      <c r="B66" s="508"/>
      <c r="C66" s="508"/>
      <c r="D66" s="591" t="s">
        <v>428</v>
      </c>
      <c r="E66" s="592">
        <f>E67</f>
        <v>5600</v>
      </c>
      <c r="F66" s="592">
        <f>F67</f>
        <v>5600</v>
      </c>
      <c r="G66" s="593">
        <f>G67</f>
        <v>0</v>
      </c>
    </row>
    <row r="67" spans="1:7" ht="15.75">
      <c r="A67" s="511"/>
      <c r="B67" s="511">
        <v>92195</v>
      </c>
      <c r="C67" s="511"/>
      <c r="D67" s="594" t="s">
        <v>306</v>
      </c>
      <c r="E67" s="595">
        <f>F67+G67</f>
        <v>5600</v>
      </c>
      <c r="F67" s="595">
        <f>700+1100+1100+1500+1200</f>
        <v>5600</v>
      </c>
      <c r="G67" s="595"/>
    </row>
    <row r="68" spans="1:7" ht="15.75">
      <c r="A68" s="508">
        <v>926</v>
      </c>
      <c r="B68" s="508"/>
      <c r="C68" s="508"/>
      <c r="D68" s="591" t="s">
        <v>431</v>
      </c>
      <c r="E68" s="592">
        <f>F68+G68</f>
        <v>8300</v>
      </c>
      <c r="F68" s="510">
        <f>SUM(F69)</f>
        <v>8300</v>
      </c>
      <c r="G68" s="510">
        <f>SUM(G69)</f>
        <v>0</v>
      </c>
    </row>
    <row r="69" spans="1:7" ht="15.75">
      <c r="A69" s="511"/>
      <c r="B69" s="511">
        <v>92695</v>
      </c>
      <c r="C69" s="511"/>
      <c r="D69" s="594" t="s">
        <v>306</v>
      </c>
      <c r="E69" s="595">
        <f>F69+G69</f>
        <v>8300</v>
      </c>
      <c r="F69" s="530">
        <f>2500+1900+3900</f>
        <v>8300</v>
      </c>
      <c r="G69" s="595"/>
    </row>
    <row r="70" spans="1:7" s="585" customFormat="1" ht="15.75" customHeight="1">
      <c r="A70" s="833" t="s">
        <v>113</v>
      </c>
      <c r="B70" s="833"/>
      <c r="C70" s="833"/>
      <c r="D70" s="833"/>
      <c r="E70" s="588">
        <f>E71</f>
        <v>7672</v>
      </c>
      <c r="F70" s="588">
        <f>F71</f>
        <v>7672</v>
      </c>
      <c r="G70" s="589">
        <f>G71</f>
        <v>0</v>
      </c>
    </row>
    <row r="71" spans="1:7" ht="15.75">
      <c r="A71" s="508">
        <v>921</v>
      </c>
      <c r="B71" s="508"/>
      <c r="C71" s="508"/>
      <c r="D71" s="591" t="s">
        <v>428</v>
      </c>
      <c r="E71" s="592">
        <f>E73+E72</f>
        <v>7672</v>
      </c>
      <c r="F71" s="592">
        <f>F73+F72</f>
        <v>7672</v>
      </c>
      <c r="G71" s="593">
        <f>G73+G72</f>
        <v>0</v>
      </c>
    </row>
    <row r="72" spans="1:7" ht="15.75">
      <c r="A72" s="508"/>
      <c r="B72" s="598">
        <v>92109</v>
      </c>
      <c r="C72" s="598"/>
      <c r="D72" s="597" t="s">
        <v>429</v>
      </c>
      <c r="E72" s="595">
        <f>F72+G72</f>
        <v>6472</v>
      </c>
      <c r="F72" s="595">
        <f>5000+472+1000</f>
        <v>6472</v>
      </c>
      <c r="G72" s="593"/>
    </row>
    <row r="73" spans="1:7" ht="15.75">
      <c r="A73" s="511"/>
      <c r="B73" s="511">
        <v>92195</v>
      </c>
      <c r="C73" s="511"/>
      <c r="D73" s="594" t="s">
        <v>306</v>
      </c>
      <c r="E73" s="595">
        <f>F73+G73</f>
        <v>1200</v>
      </c>
      <c r="F73" s="595">
        <f>800+400</f>
        <v>1200</v>
      </c>
      <c r="G73" s="595"/>
    </row>
    <row r="74" spans="1:7" s="585" customFormat="1" ht="15.75" customHeight="1">
      <c r="A74" s="833" t="s">
        <v>114</v>
      </c>
      <c r="B74" s="833"/>
      <c r="C74" s="833"/>
      <c r="D74" s="833"/>
      <c r="E74" s="588">
        <f>E75+E77</f>
        <v>5596</v>
      </c>
      <c r="F74" s="588">
        <f>F75+F77</f>
        <v>5596</v>
      </c>
      <c r="G74" s="589">
        <f>G75+G77</f>
        <v>0</v>
      </c>
    </row>
    <row r="75" spans="1:7" ht="31.5">
      <c r="A75" s="508">
        <v>900</v>
      </c>
      <c r="B75" s="508"/>
      <c r="C75" s="508"/>
      <c r="D75" s="591" t="s">
        <v>616</v>
      </c>
      <c r="E75" s="592">
        <f>E76</f>
        <v>4000</v>
      </c>
      <c r="F75" s="592">
        <f>F76</f>
        <v>4000</v>
      </c>
      <c r="G75" s="593">
        <f>G76</f>
        <v>0</v>
      </c>
    </row>
    <row r="76" spans="1:7" ht="15.75">
      <c r="A76" s="511"/>
      <c r="B76" s="598">
        <v>90015</v>
      </c>
      <c r="C76" s="598"/>
      <c r="D76" s="597" t="s">
        <v>621</v>
      </c>
      <c r="E76" s="595">
        <f>F76+G76</f>
        <v>4000</v>
      </c>
      <c r="F76" s="530">
        <v>4000</v>
      </c>
      <c r="G76" s="596"/>
    </row>
    <row r="77" spans="1:7" ht="15.75">
      <c r="A77" s="508">
        <v>921</v>
      </c>
      <c r="B77" s="508"/>
      <c r="C77" s="508"/>
      <c r="D77" s="591" t="s">
        <v>428</v>
      </c>
      <c r="E77" s="592">
        <f>E78</f>
        <v>1596</v>
      </c>
      <c r="F77" s="592">
        <f>F78</f>
        <v>1596</v>
      </c>
      <c r="G77" s="593">
        <f>G78</f>
        <v>0</v>
      </c>
    </row>
    <row r="78" spans="1:7" ht="15.75">
      <c r="A78" s="511"/>
      <c r="B78" s="511">
        <v>92195</v>
      </c>
      <c r="C78" s="511"/>
      <c r="D78" s="594" t="s">
        <v>306</v>
      </c>
      <c r="E78" s="595">
        <f>F78+G78</f>
        <v>1596</v>
      </c>
      <c r="F78" s="595">
        <f>800+796</f>
        <v>1596</v>
      </c>
      <c r="G78" s="595"/>
    </row>
    <row r="79" spans="1:7" ht="15.75" customHeight="1">
      <c r="A79" s="833" t="s">
        <v>115</v>
      </c>
      <c r="B79" s="833"/>
      <c r="C79" s="833"/>
      <c r="D79" s="833"/>
      <c r="E79" s="588">
        <f>E85+E82+E80</f>
        <v>26873</v>
      </c>
      <c r="F79" s="588">
        <f>F85+F82+F80</f>
        <v>26873</v>
      </c>
      <c r="G79" s="589">
        <f>G85+G82+G80</f>
        <v>0</v>
      </c>
    </row>
    <row r="80" spans="1:7" ht="15.75">
      <c r="A80" s="508">
        <v>600</v>
      </c>
      <c r="B80" s="508"/>
      <c r="C80" s="604"/>
      <c r="D80" s="605" t="s">
        <v>309</v>
      </c>
      <c r="E80" s="510">
        <f>E81</f>
        <v>5210</v>
      </c>
      <c r="F80" s="510">
        <f>F81</f>
        <v>5210</v>
      </c>
      <c r="G80" s="510">
        <f>G81</f>
        <v>0</v>
      </c>
    </row>
    <row r="81" spans="1:7" ht="15.75">
      <c r="A81" s="508"/>
      <c r="B81" s="598">
        <v>60016</v>
      </c>
      <c r="C81" s="608"/>
      <c r="D81" s="609" t="s">
        <v>310</v>
      </c>
      <c r="E81" s="595">
        <f>F81+G81</f>
        <v>5210</v>
      </c>
      <c r="F81" s="607">
        <v>5210</v>
      </c>
      <c r="G81" s="190"/>
    </row>
    <row r="82" spans="1:7" ht="15.75">
      <c r="A82" s="508">
        <v>921</v>
      </c>
      <c r="B82" s="508"/>
      <c r="C82" s="508"/>
      <c r="D82" s="591" t="s">
        <v>428</v>
      </c>
      <c r="E82" s="592">
        <f>E84+E83</f>
        <v>5290</v>
      </c>
      <c r="F82" s="592">
        <f>F84+F83</f>
        <v>5290</v>
      </c>
      <c r="G82" s="593">
        <f>G84</f>
        <v>0</v>
      </c>
    </row>
    <row r="83" spans="1:7" ht="15.75">
      <c r="A83" s="508"/>
      <c r="B83" s="598">
        <v>92109</v>
      </c>
      <c r="C83" s="598"/>
      <c r="D83" s="597" t="s">
        <v>429</v>
      </c>
      <c r="E83" s="595">
        <f>F83+G83</f>
        <v>4290</v>
      </c>
      <c r="F83" s="595">
        <v>4290</v>
      </c>
      <c r="G83" s="593"/>
    </row>
    <row r="84" spans="1:7" ht="15.75">
      <c r="A84" s="511"/>
      <c r="B84" s="511">
        <v>92195</v>
      </c>
      <c r="C84" s="511"/>
      <c r="D84" s="594" t="s">
        <v>306</v>
      </c>
      <c r="E84" s="595">
        <f>F84+G84</f>
        <v>1000</v>
      </c>
      <c r="F84" s="595">
        <f>1000</f>
        <v>1000</v>
      </c>
      <c r="G84" s="595"/>
    </row>
    <row r="85" spans="1:7" ht="15.75" customHeight="1">
      <c r="A85" s="833" t="s">
        <v>116</v>
      </c>
      <c r="B85" s="833"/>
      <c r="C85" s="833"/>
      <c r="D85" s="833"/>
      <c r="E85" s="588">
        <f>E88+E86</f>
        <v>16373</v>
      </c>
      <c r="F85" s="588">
        <f>F88+F86</f>
        <v>16373</v>
      </c>
      <c r="G85" s="589">
        <f>G88</f>
        <v>0</v>
      </c>
    </row>
    <row r="86" spans="1:7" ht="31.5">
      <c r="A86" s="508">
        <v>900</v>
      </c>
      <c r="B86" s="508"/>
      <c r="C86" s="508"/>
      <c r="D86" s="591" t="s">
        <v>616</v>
      </c>
      <c r="E86" s="610">
        <f>E87</f>
        <v>500</v>
      </c>
      <c r="F86" s="610">
        <f>F87</f>
        <v>500</v>
      </c>
      <c r="G86" s="589"/>
    </row>
    <row r="87" spans="1:7" ht="15.75">
      <c r="A87" s="511"/>
      <c r="B87" s="511">
        <v>90003</v>
      </c>
      <c r="C87" s="511"/>
      <c r="D87" s="489" t="s">
        <v>618</v>
      </c>
      <c r="E87" s="611">
        <f>F87</f>
        <v>500</v>
      </c>
      <c r="F87" s="611">
        <v>500</v>
      </c>
      <c r="G87" s="589"/>
    </row>
    <row r="88" spans="1:7" ht="15.75">
      <c r="A88" s="508">
        <v>921</v>
      </c>
      <c r="B88" s="508"/>
      <c r="C88" s="508"/>
      <c r="D88" s="591" t="s">
        <v>428</v>
      </c>
      <c r="E88" s="592">
        <f>E90+E89</f>
        <v>15873</v>
      </c>
      <c r="F88" s="592">
        <f>F90+F89</f>
        <v>15873</v>
      </c>
      <c r="G88" s="593">
        <f>G90+G89</f>
        <v>0</v>
      </c>
    </row>
    <row r="89" spans="1:7" ht="15.75">
      <c r="A89" s="508"/>
      <c r="B89" s="598">
        <v>92109</v>
      </c>
      <c r="C89" s="598"/>
      <c r="D89" s="597" t="s">
        <v>429</v>
      </c>
      <c r="E89" s="595">
        <f>F89+G89</f>
        <v>13373</v>
      </c>
      <c r="F89" s="595">
        <f>9000+4373</f>
        <v>13373</v>
      </c>
      <c r="G89" s="593"/>
    </row>
    <row r="90" spans="1:7" ht="15.75">
      <c r="A90" s="511"/>
      <c r="B90" s="511">
        <v>92195</v>
      </c>
      <c r="C90" s="511"/>
      <c r="D90" s="594" t="s">
        <v>306</v>
      </c>
      <c r="E90" s="595">
        <f>F90+G90</f>
        <v>2500</v>
      </c>
      <c r="F90" s="595">
        <f>2500</f>
        <v>2500</v>
      </c>
      <c r="G90" s="595"/>
    </row>
    <row r="91" spans="1:7" ht="15.75" customHeight="1">
      <c r="A91" s="833" t="s">
        <v>117</v>
      </c>
      <c r="B91" s="833"/>
      <c r="C91" s="833"/>
      <c r="D91" s="833"/>
      <c r="E91" s="588">
        <f>E94+E92</f>
        <v>8364</v>
      </c>
      <c r="F91" s="588">
        <f>F94+F92</f>
        <v>8364</v>
      </c>
      <c r="G91" s="589">
        <f>G94+G92</f>
        <v>0</v>
      </c>
    </row>
    <row r="92" spans="1:7" ht="15.75">
      <c r="A92" s="508">
        <v>921</v>
      </c>
      <c r="B92" s="508"/>
      <c r="C92" s="508"/>
      <c r="D92" s="591" t="s">
        <v>428</v>
      </c>
      <c r="E92" s="592">
        <f>E93</f>
        <v>2000</v>
      </c>
      <c r="F92" s="592">
        <f>F93</f>
        <v>2000</v>
      </c>
      <c r="G92" s="593">
        <f>G93</f>
        <v>0</v>
      </c>
    </row>
    <row r="93" spans="1:7" ht="15.75">
      <c r="A93" s="511"/>
      <c r="B93" s="511">
        <v>92195</v>
      </c>
      <c r="C93" s="511"/>
      <c r="D93" s="594" t="s">
        <v>306</v>
      </c>
      <c r="E93" s="595">
        <f>F93+G93</f>
        <v>2000</v>
      </c>
      <c r="F93" s="595">
        <v>2000</v>
      </c>
      <c r="G93" s="595"/>
    </row>
    <row r="94" spans="1:7" ht="15.75">
      <c r="A94" s="508">
        <v>926</v>
      </c>
      <c r="B94" s="508"/>
      <c r="C94" s="508"/>
      <c r="D94" s="591" t="s">
        <v>431</v>
      </c>
      <c r="E94" s="592">
        <f>F94+G94</f>
        <v>6364</v>
      </c>
      <c r="F94" s="510">
        <f>SUM(F95)</f>
        <v>6364</v>
      </c>
      <c r="G94" s="510">
        <f>SUM(G95)</f>
        <v>0</v>
      </c>
    </row>
    <row r="95" spans="1:7" ht="15.75">
      <c r="A95" s="511"/>
      <c r="B95" s="511">
        <v>92695</v>
      </c>
      <c r="C95" s="511"/>
      <c r="D95" s="594" t="s">
        <v>306</v>
      </c>
      <c r="E95" s="595">
        <f>F95+G95</f>
        <v>6364</v>
      </c>
      <c r="F95" s="530">
        <v>6364</v>
      </c>
      <c r="G95" s="595"/>
    </row>
    <row r="96" spans="1:7" ht="15.75" customHeight="1">
      <c r="A96" s="833" t="s">
        <v>118</v>
      </c>
      <c r="B96" s="833"/>
      <c r="C96" s="833"/>
      <c r="D96" s="833"/>
      <c r="E96" s="588">
        <f>E101+E99+E97</f>
        <v>4558</v>
      </c>
      <c r="F96" s="588">
        <f>F101+F99+F97</f>
        <v>4558</v>
      </c>
      <c r="G96" s="589">
        <f>G101+G99+G97</f>
        <v>0</v>
      </c>
    </row>
    <row r="97" spans="1:7" ht="15.75">
      <c r="A97" s="508">
        <v>600</v>
      </c>
      <c r="B97" s="508"/>
      <c r="C97" s="604"/>
      <c r="D97" s="605" t="s">
        <v>309</v>
      </c>
      <c r="E97" s="510">
        <f>E98</f>
        <v>700</v>
      </c>
      <c r="F97" s="510">
        <f>F98</f>
        <v>700</v>
      </c>
      <c r="G97" s="510">
        <f>G98</f>
        <v>0</v>
      </c>
    </row>
    <row r="98" spans="1:7" ht="15.75">
      <c r="A98" s="508"/>
      <c r="B98" s="598">
        <v>60095</v>
      </c>
      <c r="C98" s="608"/>
      <c r="D98" s="594" t="s">
        <v>306</v>
      </c>
      <c r="E98" s="595">
        <f>F98+G98</f>
        <v>700</v>
      </c>
      <c r="F98" s="607">
        <v>700</v>
      </c>
      <c r="G98" s="190"/>
    </row>
    <row r="99" spans="1:7" ht="15.75">
      <c r="A99" s="508">
        <v>921</v>
      </c>
      <c r="B99" s="508"/>
      <c r="C99" s="508"/>
      <c r="D99" s="591" t="s">
        <v>428</v>
      </c>
      <c r="E99" s="592">
        <f>E100</f>
        <v>558</v>
      </c>
      <c r="F99" s="592">
        <f>F100</f>
        <v>558</v>
      </c>
      <c r="G99" s="593">
        <f>G100</f>
        <v>0</v>
      </c>
    </row>
    <row r="100" spans="1:7" ht="15.75">
      <c r="A100" s="511"/>
      <c r="B100" s="511">
        <v>92195</v>
      </c>
      <c r="C100" s="511"/>
      <c r="D100" s="594" t="s">
        <v>306</v>
      </c>
      <c r="E100" s="595">
        <f>F100+G100</f>
        <v>558</v>
      </c>
      <c r="F100" s="595">
        <f>558</f>
        <v>558</v>
      </c>
      <c r="G100" s="595"/>
    </row>
    <row r="101" spans="1:7" ht="15.75">
      <c r="A101" s="508">
        <v>926</v>
      </c>
      <c r="B101" s="508"/>
      <c r="C101" s="508"/>
      <c r="D101" s="591" t="s">
        <v>431</v>
      </c>
      <c r="E101" s="592">
        <f>F101+G101</f>
        <v>3300</v>
      </c>
      <c r="F101" s="510">
        <f>SUM(F102)</f>
        <v>3300</v>
      </c>
      <c r="G101" s="510">
        <f>SUM(G102)</f>
        <v>0</v>
      </c>
    </row>
    <row r="102" spans="1:7" ht="15.75">
      <c r="A102" s="511"/>
      <c r="B102" s="511">
        <v>92695</v>
      </c>
      <c r="C102" s="511"/>
      <c r="D102" s="594" t="s">
        <v>306</v>
      </c>
      <c r="E102" s="595">
        <f>F102+G102</f>
        <v>3300</v>
      </c>
      <c r="F102" s="530">
        <v>3300</v>
      </c>
      <c r="G102" s="595"/>
    </row>
    <row r="103" spans="1:7" ht="15.75" customHeight="1">
      <c r="A103" s="833" t="s">
        <v>119</v>
      </c>
      <c r="B103" s="833"/>
      <c r="C103" s="833"/>
      <c r="D103" s="833"/>
      <c r="E103" s="588">
        <f>E108+E106+E104</f>
        <v>4136</v>
      </c>
      <c r="F103" s="588">
        <f>F108+F106+F104</f>
        <v>4136</v>
      </c>
      <c r="G103" s="589">
        <f>G108+G106+G104</f>
        <v>0</v>
      </c>
    </row>
    <row r="104" spans="1:7" ht="15.75">
      <c r="A104" s="508">
        <v>600</v>
      </c>
      <c r="B104" s="508"/>
      <c r="C104" s="604"/>
      <c r="D104" s="605" t="s">
        <v>309</v>
      </c>
      <c r="E104" s="510">
        <f>E105</f>
        <v>1136</v>
      </c>
      <c r="F104" s="510">
        <f>F105</f>
        <v>1136</v>
      </c>
      <c r="G104" s="510">
        <f>G105</f>
        <v>0</v>
      </c>
    </row>
    <row r="105" spans="1:7" ht="15.75">
      <c r="A105" s="508"/>
      <c r="B105" s="598">
        <v>60016</v>
      </c>
      <c r="C105" s="608"/>
      <c r="D105" s="609" t="s">
        <v>310</v>
      </c>
      <c r="E105" s="595">
        <f>F105+G105</f>
        <v>1136</v>
      </c>
      <c r="F105" s="607">
        <v>1136</v>
      </c>
      <c r="G105" s="190"/>
    </row>
    <row r="106" spans="1:7" ht="31.5">
      <c r="A106" s="508">
        <v>900</v>
      </c>
      <c r="B106" s="508"/>
      <c r="C106" s="508"/>
      <c r="D106" s="591" t="s">
        <v>616</v>
      </c>
      <c r="E106" s="610">
        <f>E107</f>
        <v>200</v>
      </c>
      <c r="F106" s="610">
        <f>F107</f>
        <v>200</v>
      </c>
      <c r="G106" s="589"/>
    </row>
    <row r="107" spans="1:7" ht="15.75">
      <c r="A107" s="511"/>
      <c r="B107" s="511">
        <v>90004</v>
      </c>
      <c r="C107" s="511"/>
      <c r="D107" s="597" t="s">
        <v>619</v>
      </c>
      <c r="E107" s="611">
        <f>F107</f>
        <v>200</v>
      </c>
      <c r="F107" s="611">
        <v>200</v>
      </c>
      <c r="G107" s="589"/>
    </row>
    <row r="108" spans="1:7" ht="15.75">
      <c r="A108" s="508">
        <v>921</v>
      </c>
      <c r="B108" s="508"/>
      <c r="C108" s="508"/>
      <c r="D108" s="591" t="s">
        <v>428</v>
      </c>
      <c r="E108" s="592">
        <f>E110+E109</f>
        <v>2800</v>
      </c>
      <c r="F108" s="592">
        <f>F110+F109</f>
        <v>2800</v>
      </c>
      <c r="G108" s="593">
        <f>G110+G109</f>
        <v>0</v>
      </c>
    </row>
    <row r="109" spans="1:7" ht="15.75">
      <c r="A109" s="508"/>
      <c r="B109" s="598">
        <v>92109</v>
      </c>
      <c r="C109" s="598"/>
      <c r="D109" s="597" t="s">
        <v>429</v>
      </c>
      <c r="E109" s="595">
        <f>F109+G109</f>
        <v>1600</v>
      </c>
      <c r="F109" s="595">
        <f>1500+100</f>
        <v>1600</v>
      </c>
      <c r="G109" s="593"/>
    </row>
    <row r="110" spans="1:7" ht="15.75">
      <c r="A110" s="511"/>
      <c r="B110" s="511">
        <v>92195</v>
      </c>
      <c r="C110" s="511"/>
      <c r="D110" s="594" t="s">
        <v>306</v>
      </c>
      <c r="E110" s="595">
        <f>F110+G110</f>
        <v>1200</v>
      </c>
      <c r="F110" s="595">
        <f>500+250+450</f>
        <v>1200</v>
      </c>
      <c r="G110" s="595"/>
    </row>
    <row r="111" spans="1:7" ht="15" customHeight="1">
      <c r="A111" s="834" t="s">
        <v>434</v>
      </c>
      <c r="B111" s="834"/>
      <c r="C111" s="834"/>
      <c r="D111" s="834"/>
      <c r="E111" s="612">
        <f>E34+E28+E24+E21+E15+E8+E47+E55+E63+E70+E74+E103+E96+E91+E85+E79+E42</f>
        <v>171390</v>
      </c>
      <c r="F111" s="612">
        <f>F34+F28+F24+F21+F15+F8+F47+F55+F63+F70+F74+F103+F96+F91+F85+F79+F42</f>
        <v>171390</v>
      </c>
      <c r="G111" s="336">
        <f>G34+G28+G24+G21+G15+G8+G47+G55+G63+G70+G74+G103+G96+G91+G85+G79+G42</f>
        <v>0</v>
      </c>
    </row>
    <row r="112" spans="2:5" ht="15.75">
      <c r="B112" s="557"/>
      <c r="C112" s="557"/>
      <c r="D112" s="557"/>
      <c r="E112" s="557"/>
    </row>
    <row r="113" spans="1:5" ht="15" customHeight="1">
      <c r="A113" s="835"/>
      <c r="B113" s="835"/>
      <c r="C113" s="835"/>
      <c r="D113" s="835"/>
      <c r="E113" s="557"/>
    </row>
    <row r="114" spans="2:5" ht="15.75">
      <c r="B114" s="557"/>
      <c r="C114" s="557"/>
      <c r="D114" s="557"/>
      <c r="E114" s="557"/>
    </row>
    <row r="115" spans="2:5" ht="15.75">
      <c r="B115" s="557"/>
      <c r="C115" s="557"/>
      <c r="D115" s="557"/>
      <c r="E115" s="557"/>
    </row>
    <row r="116" spans="2:5" ht="15.75">
      <c r="B116" s="557"/>
      <c r="C116" s="557"/>
      <c r="D116" s="557"/>
      <c r="E116" s="557"/>
    </row>
    <row r="117" spans="2:5" ht="15.75">
      <c r="B117" s="557"/>
      <c r="C117" s="557"/>
      <c r="D117" s="557"/>
      <c r="E117" s="557"/>
    </row>
    <row r="118" spans="2:5" ht="15.75">
      <c r="B118" s="557"/>
      <c r="C118" s="557"/>
      <c r="D118" s="557"/>
      <c r="E118" s="557"/>
    </row>
    <row r="119" spans="2:5" ht="15.75">
      <c r="B119" s="557"/>
      <c r="C119" s="557"/>
      <c r="D119" s="557"/>
      <c r="E119" s="557"/>
    </row>
    <row r="120" spans="2:5" ht="15.75">
      <c r="B120" s="557"/>
      <c r="C120" s="557"/>
      <c r="D120" s="557"/>
      <c r="E120" s="557"/>
    </row>
    <row r="121" spans="2:5" ht="15.75">
      <c r="B121" s="557"/>
      <c r="C121" s="557"/>
      <c r="D121" s="557"/>
      <c r="E121" s="557"/>
    </row>
  </sheetData>
  <mergeCells count="27">
    <mergeCell ref="A103:D103"/>
    <mergeCell ref="A111:D111"/>
    <mergeCell ref="A113:D113"/>
    <mergeCell ref="A79:D79"/>
    <mergeCell ref="A85:D85"/>
    <mergeCell ref="A91:D91"/>
    <mergeCell ref="A96:D96"/>
    <mergeCell ref="A55:D55"/>
    <mergeCell ref="A63:D63"/>
    <mergeCell ref="A70:D70"/>
    <mergeCell ref="A74:D74"/>
    <mergeCell ref="A28:D28"/>
    <mergeCell ref="A34:D34"/>
    <mergeCell ref="A42:D42"/>
    <mergeCell ref="A47:D47"/>
    <mergeCell ref="A8:D8"/>
    <mergeCell ref="A15:D15"/>
    <mergeCell ref="A21:D21"/>
    <mergeCell ref="A24:D24"/>
    <mergeCell ref="A1:G1"/>
    <mergeCell ref="A3:G3"/>
    <mergeCell ref="A5:A6"/>
    <mergeCell ref="B5:B6"/>
    <mergeCell ref="C5:C6"/>
    <mergeCell ref="D5:D6"/>
    <mergeCell ref="E5:E6"/>
    <mergeCell ref="F5:G5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  <rowBreaks count="2" manualBreakCount="2">
    <brk id="40" max="255" man="1"/>
    <brk id="8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IV207"/>
  <sheetViews>
    <sheetView showGridLines="0" defaultGridColor="0" view="pageBreakPreview" zoomScale="90" zoomScaleSheetLayoutView="90" colorId="15" workbookViewId="0" topLeftCell="A50">
      <selection activeCell="G7" sqref="G7"/>
    </sheetView>
  </sheetViews>
  <sheetFormatPr defaultColWidth="9.00390625" defaultRowHeight="12.75"/>
  <cols>
    <col min="1" max="1" width="3.375" style="613" customWidth="1"/>
    <col min="2" max="2" width="6.25390625" style="614" customWidth="1"/>
    <col min="3" max="3" width="7.625" style="614" customWidth="1"/>
    <col min="4" max="4" width="0" style="614" hidden="1" customWidth="1"/>
    <col min="5" max="5" width="45.375" style="615" customWidth="1"/>
    <col min="6" max="6" width="20.00390625" style="616" customWidth="1"/>
    <col min="7" max="7" width="9.875" style="617" customWidth="1"/>
    <col min="8" max="8" width="10.00390625" style="617" customWidth="1"/>
    <col min="9" max="9" width="16.125" style="618" customWidth="1"/>
    <col min="10" max="10" width="21.125" style="619" customWidth="1"/>
    <col min="11" max="11" width="14.25390625" style="620" customWidth="1"/>
    <col min="12" max="12" width="12.25390625" style="620" customWidth="1"/>
    <col min="13" max="13" width="11.625" style="620" customWidth="1"/>
    <col min="14" max="14" width="10.25390625" style="620" customWidth="1"/>
    <col min="15" max="15" width="15.75390625" style="617" customWidth="1"/>
    <col min="16" max="16384" width="9.125" style="617" customWidth="1"/>
  </cols>
  <sheetData>
    <row r="1" spans="1:26" s="621" customFormat="1" ht="39.75" customHeight="1">
      <c r="A1" s="746" t="s">
        <v>120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/>
      <c r="P1"/>
      <c r="Q1"/>
      <c r="R1" s="617"/>
      <c r="S1" s="617"/>
      <c r="T1" s="617"/>
      <c r="U1" s="617"/>
      <c r="V1" s="617"/>
      <c r="W1" s="617"/>
      <c r="X1" s="617"/>
      <c r="Y1" s="617"/>
      <c r="Z1" s="617"/>
    </row>
    <row r="2" spans="1:14" ht="13.5" customHeight="1">
      <c r="A2" s="836" t="s">
        <v>121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</row>
    <row r="3" spans="1:14" ht="15.75" customHeight="1">
      <c r="A3" s="836"/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</row>
    <row r="4" spans="1:14" ht="16.5" customHeight="1">
      <c r="A4" s="836"/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</row>
    <row r="5" spans="1:14" ht="28.5" customHeight="1">
      <c r="A5" s="837" t="s">
        <v>27</v>
      </c>
      <c r="B5" s="838" t="s">
        <v>275</v>
      </c>
      <c r="C5" s="838" t="s">
        <v>122</v>
      </c>
      <c r="D5" s="838" t="s">
        <v>297</v>
      </c>
      <c r="E5" s="839" t="s">
        <v>123</v>
      </c>
      <c r="F5" s="839" t="s">
        <v>124</v>
      </c>
      <c r="G5" s="839" t="s">
        <v>125</v>
      </c>
      <c r="H5" s="839"/>
      <c r="I5" s="840" t="s">
        <v>126</v>
      </c>
      <c r="J5" s="840" t="s">
        <v>127</v>
      </c>
      <c r="K5" s="840" t="s">
        <v>128</v>
      </c>
      <c r="L5" s="840"/>
      <c r="M5" s="840"/>
      <c r="N5" s="840"/>
    </row>
    <row r="6" spans="1:14" ht="73.5" customHeight="1">
      <c r="A6" s="837"/>
      <c r="B6" s="838"/>
      <c r="C6" s="838"/>
      <c r="D6" s="838"/>
      <c r="E6" s="839"/>
      <c r="F6" s="839"/>
      <c r="G6" s="622" t="s">
        <v>129</v>
      </c>
      <c r="H6" s="622" t="s">
        <v>130</v>
      </c>
      <c r="I6" s="840"/>
      <c r="J6" s="840"/>
      <c r="K6" s="624">
        <v>2010</v>
      </c>
      <c r="L6" s="624">
        <v>2011</v>
      </c>
      <c r="M6" s="624">
        <v>2012</v>
      </c>
      <c r="N6" s="623" t="s">
        <v>131</v>
      </c>
    </row>
    <row r="7" spans="1:14" ht="18" customHeight="1">
      <c r="A7" s="625" t="s">
        <v>30</v>
      </c>
      <c r="B7" s="626" t="s">
        <v>32</v>
      </c>
      <c r="C7" s="626" t="s">
        <v>33</v>
      </c>
      <c r="D7" s="626" t="s">
        <v>68</v>
      </c>
      <c r="E7" s="626" t="s">
        <v>68</v>
      </c>
      <c r="F7" s="626" t="s">
        <v>71</v>
      </c>
      <c r="G7" s="626" t="s">
        <v>74</v>
      </c>
      <c r="H7" s="626" t="s">
        <v>77</v>
      </c>
      <c r="I7" s="626" t="s">
        <v>80</v>
      </c>
      <c r="J7" s="627" t="s">
        <v>132</v>
      </c>
      <c r="K7" s="627" t="s">
        <v>133</v>
      </c>
      <c r="L7" s="627" t="s">
        <v>134</v>
      </c>
      <c r="M7" s="627" t="s">
        <v>135</v>
      </c>
      <c r="N7" s="627" t="s">
        <v>136</v>
      </c>
    </row>
    <row r="8" spans="1:15" ht="15.75" customHeight="1">
      <c r="A8" s="841" t="s">
        <v>30</v>
      </c>
      <c r="B8" s="842">
        <v>400</v>
      </c>
      <c r="C8" s="842">
        <v>40002</v>
      </c>
      <c r="D8" s="842">
        <v>6050</v>
      </c>
      <c r="E8" s="843" t="s">
        <v>137</v>
      </c>
      <c r="F8" s="843" t="s">
        <v>138</v>
      </c>
      <c r="G8" s="844">
        <v>2009</v>
      </c>
      <c r="H8" s="844">
        <v>2011</v>
      </c>
      <c r="I8" s="628">
        <f>SUM(I9:I11)</f>
        <v>5635000</v>
      </c>
      <c r="J8" s="629" t="s">
        <v>139</v>
      </c>
      <c r="K8" s="630">
        <f>SUM(K9:K11)</f>
        <v>2791000</v>
      </c>
      <c r="L8" s="630">
        <f>SUM(L9:L11)</f>
        <v>2430000</v>
      </c>
      <c r="M8" s="630">
        <f>SUM(M9:M11)</f>
        <v>0</v>
      </c>
      <c r="N8" s="630">
        <f>SUM(N9:N11)</f>
        <v>0</v>
      </c>
      <c r="O8" s="631"/>
    </row>
    <row r="9" spans="1:15" ht="24">
      <c r="A9" s="841"/>
      <c r="B9" s="842"/>
      <c r="C9" s="842"/>
      <c r="D9" s="842"/>
      <c r="E9" s="843"/>
      <c r="F9" s="843"/>
      <c r="G9" s="844"/>
      <c r="H9" s="844"/>
      <c r="I9" s="632">
        <f>K9+L9+M9+N9</f>
        <v>0</v>
      </c>
      <c r="J9" s="633" t="s">
        <v>140</v>
      </c>
      <c r="K9" s="630"/>
      <c r="L9" s="630"/>
      <c r="M9" s="630"/>
      <c r="N9" s="634"/>
      <c r="O9" s="631"/>
    </row>
    <row r="10" spans="1:15" ht="12">
      <c r="A10" s="841"/>
      <c r="B10" s="842"/>
      <c r="C10" s="842"/>
      <c r="D10" s="842"/>
      <c r="E10" s="843"/>
      <c r="F10" s="843"/>
      <c r="G10" s="844"/>
      <c r="H10" s="844"/>
      <c r="I10" s="632">
        <f>K10+L10+M10+N10</f>
        <v>0</v>
      </c>
      <c r="J10" s="629" t="s">
        <v>141</v>
      </c>
      <c r="K10" s="634"/>
      <c r="L10" s="634"/>
      <c r="M10" s="634"/>
      <c r="N10" s="634"/>
      <c r="O10" s="631"/>
    </row>
    <row r="11" spans="1:15" ht="12">
      <c r="A11" s="841"/>
      <c r="B11" s="842"/>
      <c r="C11" s="842"/>
      <c r="D11" s="842"/>
      <c r="E11" s="843"/>
      <c r="F11" s="843"/>
      <c r="G11" s="844"/>
      <c r="H11" s="844"/>
      <c r="I11" s="632">
        <f>K11+L11+M11+N11+414000</f>
        <v>5635000</v>
      </c>
      <c r="J11" s="629" t="s">
        <v>142</v>
      </c>
      <c r="K11" s="630">
        <v>2791000</v>
      </c>
      <c r="L11" s="630">
        <v>2430000</v>
      </c>
      <c r="M11" s="630"/>
      <c r="N11" s="630"/>
      <c r="O11" s="631"/>
    </row>
    <row r="12" spans="1:15" s="635" customFormat="1" ht="15.75" customHeight="1">
      <c r="A12" s="841" t="s">
        <v>32</v>
      </c>
      <c r="B12" s="845">
        <v>400</v>
      </c>
      <c r="C12" s="845">
        <v>40002</v>
      </c>
      <c r="D12" s="845">
        <v>6050</v>
      </c>
      <c r="E12" s="843" t="s">
        <v>143</v>
      </c>
      <c r="F12" s="843" t="s">
        <v>144</v>
      </c>
      <c r="G12" s="846">
        <v>2009</v>
      </c>
      <c r="H12" s="846">
        <v>2011</v>
      </c>
      <c r="I12" s="630">
        <f>SUM(I13:I15)</f>
        <v>2455000</v>
      </c>
      <c r="J12" s="629" t="s">
        <v>139</v>
      </c>
      <c r="K12" s="630">
        <f>SUM(K13:K15)</f>
        <v>500000</v>
      </c>
      <c r="L12" s="630">
        <f>SUM(L13:L15)</f>
        <v>1950000</v>
      </c>
      <c r="M12" s="630"/>
      <c r="N12" s="630"/>
      <c r="O12" s="631"/>
    </row>
    <row r="13" spans="1:15" s="635" customFormat="1" ht="24">
      <c r="A13" s="841"/>
      <c r="B13" s="845"/>
      <c r="C13" s="845"/>
      <c r="D13" s="845"/>
      <c r="E13" s="843"/>
      <c r="F13" s="843"/>
      <c r="G13" s="846"/>
      <c r="H13" s="846"/>
      <c r="I13" s="632">
        <f>K13+L13+M13+N13</f>
        <v>0</v>
      </c>
      <c r="J13" s="633" t="s">
        <v>140</v>
      </c>
      <c r="K13" s="630"/>
      <c r="L13" s="630"/>
      <c r="M13" s="630"/>
      <c r="N13" s="630"/>
      <c r="O13" s="631"/>
    </row>
    <row r="14" spans="1:15" s="635" customFormat="1" ht="15" customHeight="1">
      <c r="A14" s="841"/>
      <c r="B14" s="845"/>
      <c r="C14" s="845"/>
      <c r="D14" s="845"/>
      <c r="E14" s="843"/>
      <c r="F14" s="843"/>
      <c r="G14" s="846"/>
      <c r="H14" s="846"/>
      <c r="I14" s="632">
        <f>K14+L14+M14+N14+5000</f>
        <v>2455000</v>
      </c>
      <c r="J14" s="629" t="s">
        <v>141</v>
      </c>
      <c r="K14" s="630">
        <v>500000</v>
      </c>
      <c r="L14" s="630">
        <v>1950000</v>
      </c>
      <c r="M14" s="630"/>
      <c r="N14" s="630"/>
      <c r="O14" s="631"/>
    </row>
    <row r="15" spans="1:15" s="635" customFormat="1" ht="15.75" customHeight="1">
      <c r="A15" s="841"/>
      <c r="B15" s="845"/>
      <c r="C15" s="845"/>
      <c r="D15" s="845"/>
      <c r="E15" s="843"/>
      <c r="F15" s="843"/>
      <c r="G15" s="846"/>
      <c r="H15" s="846"/>
      <c r="I15" s="632">
        <f aca="true" t="shared" si="0" ref="I15:I23">K15+L15+M15+N15</f>
        <v>0</v>
      </c>
      <c r="J15" s="629" t="s">
        <v>142</v>
      </c>
      <c r="K15" s="630"/>
      <c r="L15" s="630"/>
      <c r="M15" s="630"/>
      <c r="N15" s="630"/>
      <c r="O15" s="631"/>
    </row>
    <row r="16" spans="1:15" ht="12.75" customHeight="1">
      <c r="A16" s="841" t="s">
        <v>33</v>
      </c>
      <c r="B16" s="845">
        <v>400</v>
      </c>
      <c r="C16" s="845">
        <v>40002</v>
      </c>
      <c r="D16" s="845">
        <v>6050</v>
      </c>
      <c r="E16" s="847" t="s">
        <v>145</v>
      </c>
      <c r="F16" s="847" t="s">
        <v>146</v>
      </c>
      <c r="G16" s="846">
        <v>2007</v>
      </c>
      <c r="H16" s="846">
        <v>2011</v>
      </c>
      <c r="I16" s="632">
        <f t="shared" si="0"/>
        <v>166000</v>
      </c>
      <c r="J16" s="629" t="s">
        <v>139</v>
      </c>
      <c r="K16" s="630">
        <f>K18</f>
        <v>83000</v>
      </c>
      <c r="L16" s="630">
        <f>L18</f>
        <v>83000</v>
      </c>
      <c r="M16" s="630">
        <f>M18</f>
        <v>0</v>
      </c>
      <c r="N16" s="630"/>
      <c r="O16" s="631"/>
    </row>
    <row r="17" spans="1:15" ht="24">
      <c r="A17" s="841"/>
      <c r="B17" s="845"/>
      <c r="C17" s="845"/>
      <c r="D17" s="845"/>
      <c r="E17" s="847"/>
      <c r="F17" s="847"/>
      <c r="G17" s="846"/>
      <c r="H17" s="846"/>
      <c r="I17" s="632">
        <f t="shared" si="0"/>
        <v>0</v>
      </c>
      <c r="J17" s="633" t="s">
        <v>140</v>
      </c>
      <c r="K17" s="630"/>
      <c r="L17" s="630"/>
      <c r="M17" s="630"/>
      <c r="N17" s="630"/>
      <c r="O17" s="631"/>
    </row>
    <row r="18" spans="1:15" ht="15.75" customHeight="1">
      <c r="A18" s="841"/>
      <c r="B18" s="845"/>
      <c r="C18" s="845"/>
      <c r="D18" s="845"/>
      <c r="E18" s="847"/>
      <c r="F18" s="847"/>
      <c r="G18" s="846"/>
      <c r="H18" s="846"/>
      <c r="I18" s="632">
        <f t="shared" si="0"/>
        <v>166000</v>
      </c>
      <c r="J18" s="629" t="s">
        <v>141</v>
      </c>
      <c r="K18" s="630">
        <v>83000</v>
      </c>
      <c r="L18" s="630">
        <v>83000</v>
      </c>
      <c r="M18" s="630"/>
      <c r="N18" s="630"/>
      <c r="O18" s="631"/>
    </row>
    <row r="19" spans="1:15" ht="15.75" customHeight="1">
      <c r="A19" s="841"/>
      <c r="B19" s="845"/>
      <c r="C19" s="845"/>
      <c r="D19" s="845"/>
      <c r="E19" s="847"/>
      <c r="F19" s="847"/>
      <c r="G19" s="846"/>
      <c r="H19" s="846"/>
      <c r="I19" s="632">
        <f t="shared" si="0"/>
        <v>0</v>
      </c>
      <c r="J19" s="629" t="s">
        <v>147</v>
      </c>
      <c r="K19" s="630"/>
      <c r="L19" s="630"/>
      <c r="M19" s="630"/>
      <c r="N19" s="630"/>
      <c r="O19" s="631"/>
    </row>
    <row r="20" spans="1:15" s="635" customFormat="1" ht="16.5" customHeight="1">
      <c r="A20" s="841" t="s">
        <v>148</v>
      </c>
      <c r="B20" s="845">
        <v>600</v>
      </c>
      <c r="C20" s="845">
        <v>60016</v>
      </c>
      <c r="D20" s="845">
        <v>6050</v>
      </c>
      <c r="E20" s="843" t="s">
        <v>149</v>
      </c>
      <c r="F20" s="843" t="s">
        <v>144</v>
      </c>
      <c r="G20" s="846">
        <v>2010</v>
      </c>
      <c r="H20" s="846">
        <v>2011</v>
      </c>
      <c r="I20" s="632">
        <f t="shared" si="0"/>
        <v>5762590</v>
      </c>
      <c r="J20" s="629" t="s">
        <v>139</v>
      </c>
      <c r="K20" s="634"/>
      <c r="L20" s="634">
        <f>L21+L22</f>
        <v>2881295</v>
      </c>
      <c r="M20" s="634">
        <f>M21+M22</f>
        <v>2881295</v>
      </c>
      <c r="N20" s="630"/>
      <c r="O20" s="631"/>
    </row>
    <row r="21" spans="1:15" s="635" customFormat="1" ht="24">
      <c r="A21" s="841"/>
      <c r="B21" s="845"/>
      <c r="C21" s="845"/>
      <c r="D21" s="845"/>
      <c r="E21" s="843"/>
      <c r="F21" s="843"/>
      <c r="G21" s="846"/>
      <c r="H21" s="846"/>
      <c r="I21" s="632">
        <f t="shared" si="0"/>
        <v>0</v>
      </c>
      <c r="J21" s="633" t="s">
        <v>140</v>
      </c>
      <c r="K21" s="630"/>
      <c r="L21" s="630"/>
      <c r="M21" s="630"/>
      <c r="N21" s="630"/>
      <c r="O21" s="631"/>
    </row>
    <row r="22" spans="1:15" s="635" customFormat="1" ht="12">
      <c r="A22" s="841"/>
      <c r="B22" s="845"/>
      <c r="C22" s="845"/>
      <c r="D22" s="845"/>
      <c r="E22" s="843"/>
      <c r="F22" s="843"/>
      <c r="G22" s="846"/>
      <c r="H22" s="846"/>
      <c r="I22" s="632">
        <f t="shared" si="0"/>
        <v>5762590</v>
      </c>
      <c r="J22" s="629" t="s">
        <v>141</v>
      </c>
      <c r="K22" s="636"/>
      <c r="L22" s="636">
        <f>5762590/2</f>
        <v>2881295</v>
      </c>
      <c r="M22" s="636">
        <f>5762590/2</f>
        <v>2881295</v>
      </c>
      <c r="N22" s="637"/>
      <c r="O22" s="631"/>
    </row>
    <row r="23" spans="1:15" s="635" customFormat="1" ht="12">
      <c r="A23" s="841"/>
      <c r="B23" s="845"/>
      <c r="C23" s="845"/>
      <c r="D23" s="845"/>
      <c r="E23" s="843"/>
      <c r="F23" s="843"/>
      <c r="G23" s="846"/>
      <c r="H23" s="846"/>
      <c r="I23" s="632">
        <f t="shared" si="0"/>
        <v>0</v>
      </c>
      <c r="J23" s="629" t="s">
        <v>142</v>
      </c>
      <c r="K23" s="630"/>
      <c r="L23" s="636"/>
      <c r="M23" s="636"/>
      <c r="N23" s="637"/>
      <c r="O23" s="631"/>
    </row>
    <row r="24" spans="1:15" ht="15.75" customHeight="1">
      <c r="A24" s="841" t="s">
        <v>150</v>
      </c>
      <c r="B24" s="845">
        <v>600</v>
      </c>
      <c r="C24" s="845">
        <v>60016</v>
      </c>
      <c r="D24" s="845">
        <v>6050</v>
      </c>
      <c r="E24" s="843" t="s">
        <v>151</v>
      </c>
      <c r="F24" s="843" t="s">
        <v>144</v>
      </c>
      <c r="G24" s="846">
        <v>2009</v>
      </c>
      <c r="H24" s="846">
        <v>2015</v>
      </c>
      <c r="I24" s="630">
        <f>I26</f>
        <v>5920000</v>
      </c>
      <c r="J24" s="629" t="s">
        <v>139</v>
      </c>
      <c r="K24" s="630">
        <f>K26</f>
        <v>630000</v>
      </c>
      <c r="L24" s="630">
        <f>L26</f>
        <v>1000000</v>
      </c>
      <c r="M24" s="630">
        <f>M26</f>
        <v>1000000</v>
      </c>
      <c r="N24" s="630">
        <f>N26</f>
        <v>3000000</v>
      </c>
      <c r="O24" s="631"/>
    </row>
    <row r="25" spans="1:15" ht="12">
      <c r="A25" s="841"/>
      <c r="B25" s="845"/>
      <c r="C25" s="845"/>
      <c r="D25" s="845"/>
      <c r="E25" s="843"/>
      <c r="F25" s="843"/>
      <c r="G25" s="846"/>
      <c r="H25" s="846"/>
      <c r="I25" s="632">
        <f>K25+L25+M25+N25</f>
        <v>0</v>
      </c>
      <c r="J25" s="629"/>
      <c r="K25" s="630"/>
      <c r="L25" s="630"/>
      <c r="M25" s="630"/>
      <c r="N25" s="630"/>
      <c r="O25" s="631"/>
    </row>
    <row r="26" spans="1:15" ht="12">
      <c r="A26" s="841"/>
      <c r="B26" s="845"/>
      <c r="C26" s="845"/>
      <c r="D26" s="845"/>
      <c r="E26" s="843"/>
      <c r="F26" s="843"/>
      <c r="G26" s="846"/>
      <c r="H26" s="846"/>
      <c r="I26" s="632">
        <f>K26+L26+M26+N26+290000</f>
        <v>5920000</v>
      </c>
      <c r="J26" s="629" t="s">
        <v>141</v>
      </c>
      <c r="K26" s="630">
        <v>630000</v>
      </c>
      <c r="L26" s="630">
        <v>1000000</v>
      </c>
      <c r="M26" s="630">
        <v>1000000</v>
      </c>
      <c r="N26" s="630">
        <v>3000000</v>
      </c>
      <c r="O26" s="631"/>
    </row>
    <row r="27" spans="1:15" ht="16.5" customHeight="1">
      <c r="A27" s="841"/>
      <c r="B27" s="845"/>
      <c r="C27" s="845"/>
      <c r="D27" s="845"/>
      <c r="E27" s="843"/>
      <c r="F27" s="843"/>
      <c r="G27" s="846"/>
      <c r="H27" s="846"/>
      <c r="I27" s="632">
        <f>K27+L27+M27+N27</f>
        <v>0</v>
      </c>
      <c r="J27" s="629" t="s">
        <v>147</v>
      </c>
      <c r="K27" s="630"/>
      <c r="L27" s="630"/>
      <c r="M27" s="630"/>
      <c r="N27" s="630"/>
      <c r="O27" s="631"/>
    </row>
    <row r="28" spans="1:15" ht="12.75" customHeight="1" hidden="1">
      <c r="A28" s="848" t="s">
        <v>152</v>
      </c>
      <c r="B28" s="848"/>
      <c r="C28" s="848"/>
      <c r="D28" s="848"/>
      <c r="E28" s="848"/>
      <c r="F28" s="848"/>
      <c r="G28" s="848"/>
      <c r="H28" s="848"/>
      <c r="I28" s="848">
        <f>K28+L28+M28+N28</f>
        <v>0</v>
      </c>
      <c r="J28" s="848"/>
      <c r="K28" s="848"/>
      <c r="L28" s="848"/>
      <c r="M28" s="848"/>
      <c r="N28" s="848"/>
      <c r="O28" s="631"/>
    </row>
    <row r="29" spans="1:15" ht="15.75" customHeight="1">
      <c r="A29" s="841" t="s">
        <v>153</v>
      </c>
      <c r="B29" s="845">
        <v>600</v>
      </c>
      <c r="C29" s="845">
        <v>60016</v>
      </c>
      <c r="D29" s="845">
        <v>6050</v>
      </c>
      <c r="E29" s="843" t="s">
        <v>154</v>
      </c>
      <c r="F29" s="843" t="s">
        <v>144</v>
      </c>
      <c r="G29" s="846">
        <v>2009</v>
      </c>
      <c r="H29" s="846">
        <v>2011</v>
      </c>
      <c r="I29" s="630">
        <f>I31</f>
        <v>1300000</v>
      </c>
      <c r="J29" s="629" t="s">
        <v>139</v>
      </c>
      <c r="K29" s="630">
        <f>K31</f>
        <v>30000</v>
      </c>
      <c r="L29" s="630">
        <f>L31</f>
        <v>1200000</v>
      </c>
      <c r="M29" s="630"/>
      <c r="N29" s="630"/>
      <c r="O29" s="631"/>
    </row>
    <row r="30" spans="1:15" ht="24">
      <c r="A30" s="841"/>
      <c r="B30" s="845"/>
      <c r="C30" s="845"/>
      <c r="D30" s="845"/>
      <c r="E30" s="843"/>
      <c r="F30" s="843"/>
      <c r="G30" s="846"/>
      <c r="H30" s="846"/>
      <c r="I30" s="632">
        <f>K30+L30+M30+N30</f>
        <v>0</v>
      </c>
      <c r="J30" s="633" t="s">
        <v>140</v>
      </c>
      <c r="K30" s="630"/>
      <c r="L30" s="630"/>
      <c r="M30" s="630"/>
      <c r="N30" s="630"/>
      <c r="O30" s="631"/>
    </row>
    <row r="31" spans="1:15" ht="15.75" customHeight="1">
      <c r="A31" s="841"/>
      <c r="B31" s="845"/>
      <c r="C31" s="845"/>
      <c r="D31" s="845"/>
      <c r="E31" s="843"/>
      <c r="F31" s="843"/>
      <c r="G31" s="846"/>
      <c r="H31" s="846"/>
      <c r="I31" s="632">
        <f>K31+L31+M31+N31+70000</f>
        <v>1300000</v>
      </c>
      <c r="J31" s="629" t="s">
        <v>141</v>
      </c>
      <c r="K31" s="630">
        <v>30000</v>
      </c>
      <c r="L31" s="630">
        <v>1200000</v>
      </c>
      <c r="M31" s="630"/>
      <c r="N31" s="630"/>
      <c r="O31" s="631"/>
    </row>
    <row r="32" spans="1:15" ht="15.75" customHeight="1">
      <c r="A32" s="841"/>
      <c r="B32" s="845"/>
      <c r="C32" s="845"/>
      <c r="D32" s="845"/>
      <c r="E32" s="843"/>
      <c r="F32" s="843"/>
      <c r="G32" s="846"/>
      <c r="H32" s="846"/>
      <c r="I32" s="632">
        <f aca="true" t="shared" si="1" ref="I32:I40">K32+L32+M32+N32</f>
        <v>0</v>
      </c>
      <c r="J32" s="629" t="s">
        <v>147</v>
      </c>
      <c r="K32" s="630"/>
      <c r="L32" s="630"/>
      <c r="M32" s="630"/>
      <c r="N32" s="630"/>
      <c r="O32" s="631"/>
    </row>
    <row r="33" spans="1:15" ht="12.75" customHeight="1">
      <c r="A33" s="841" t="s">
        <v>155</v>
      </c>
      <c r="B33" s="845">
        <v>600</v>
      </c>
      <c r="C33" s="845">
        <v>60016</v>
      </c>
      <c r="D33" s="845">
        <v>6050</v>
      </c>
      <c r="E33" s="843" t="s">
        <v>156</v>
      </c>
      <c r="F33" s="843" t="s">
        <v>144</v>
      </c>
      <c r="G33" s="846">
        <v>2010</v>
      </c>
      <c r="H33" s="846">
        <v>2011</v>
      </c>
      <c r="I33" s="632">
        <f t="shared" si="1"/>
        <v>1800000</v>
      </c>
      <c r="J33" s="629" t="s">
        <v>139</v>
      </c>
      <c r="K33" s="630">
        <f>SUM(K34:K36)</f>
        <v>150000</v>
      </c>
      <c r="L33" s="630">
        <f>SUM(L34:L36)</f>
        <v>1650000</v>
      </c>
      <c r="M33" s="630">
        <f>SUM(M34:M36)</f>
        <v>0</v>
      </c>
      <c r="N33" s="630"/>
      <c r="O33" s="631"/>
    </row>
    <row r="34" spans="1:15" ht="24">
      <c r="A34" s="841"/>
      <c r="B34" s="845"/>
      <c r="C34" s="845"/>
      <c r="D34" s="845"/>
      <c r="E34" s="843"/>
      <c r="F34" s="843"/>
      <c r="G34" s="846"/>
      <c r="H34" s="846"/>
      <c r="I34" s="632">
        <f t="shared" si="1"/>
        <v>0</v>
      </c>
      <c r="J34" s="633" t="s">
        <v>140</v>
      </c>
      <c r="K34" s="630"/>
      <c r="L34" s="630"/>
      <c r="M34" s="630"/>
      <c r="N34" s="630"/>
      <c r="O34" s="631"/>
    </row>
    <row r="35" spans="1:15" ht="12">
      <c r="A35" s="841"/>
      <c r="B35" s="845"/>
      <c r="C35" s="845"/>
      <c r="D35" s="845"/>
      <c r="E35" s="843"/>
      <c r="F35" s="843"/>
      <c r="G35" s="846"/>
      <c r="H35" s="846"/>
      <c r="I35" s="632">
        <f t="shared" si="1"/>
        <v>1800000</v>
      </c>
      <c r="J35" s="629" t="s">
        <v>141</v>
      </c>
      <c r="K35" s="630">
        <v>150000</v>
      </c>
      <c r="L35" s="630">
        <v>1650000</v>
      </c>
      <c r="M35" s="630"/>
      <c r="N35" s="630"/>
      <c r="O35" s="631"/>
    </row>
    <row r="36" spans="1:15" ht="15.75" customHeight="1">
      <c r="A36" s="841"/>
      <c r="B36" s="845"/>
      <c r="C36" s="845"/>
      <c r="D36" s="845"/>
      <c r="E36" s="843"/>
      <c r="F36" s="843"/>
      <c r="G36" s="846"/>
      <c r="H36" s="846"/>
      <c r="I36" s="632">
        <f t="shared" si="1"/>
        <v>0</v>
      </c>
      <c r="J36" s="629" t="s">
        <v>147</v>
      </c>
      <c r="K36" s="630"/>
      <c r="L36" s="630"/>
      <c r="M36" s="634"/>
      <c r="N36" s="630"/>
      <c r="O36" s="631"/>
    </row>
    <row r="37" spans="1:15" ht="17.25" customHeight="1">
      <c r="A37" s="841" t="s">
        <v>157</v>
      </c>
      <c r="B37" s="845">
        <v>600</v>
      </c>
      <c r="C37" s="845">
        <v>60016</v>
      </c>
      <c r="D37" s="845">
        <v>6050</v>
      </c>
      <c r="E37" s="843" t="s">
        <v>158</v>
      </c>
      <c r="F37" s="843" t="s">
        <v>144</v>
      </c>
      <c r="G37" s="844">
        <v>2010</v>
      </c>
      <c r="H37" s="844">
        <v>2011</v>
      </c>
      <c r="I37" s="632">
        <f t="shared" si="1"/>
        <v>810000</v>
      </c>
      <c r="J37" s="629" t="s">
        <v>139</v>
      </c>
      <c r="K37" s="630">
        <f>SUM(K38:K40)</f>
        <v>250000</v>
      </c>
      <c r="L37" s="630">
        <f>SUM(L38:L40)</f>
        <v>560000</v>
      </c>
      <c r="M37" s="634"/>
      <c r="N37" s="634"/>
      <c r="O37" s="631"/>
    </row>
    <row r="38" spans="1:15" ht="24">
      <c r="A38" s="841"/>
      <c r="B38" s="845"/>
      <c r="C38" s="845"/>
      <c r="D38" s="845"/>
      <c r="E38" s="843"/>
      <c r="F38" s="843"/>
      <c r="G38" s="844"/>
      <c r="H38" s="844"/>
      <c r="I38" s="632">
        <f t="shared" si="1"/>
        <v>0</v>
      </c>
      <c r="J38" s="633" t="s">
        <v>140</v>
      </c>
      <c r="K38" s="634"/>
      <c r="L38" s="634"/>
      <c r="M38" s="630"/>
      <c r="N38" s="630"/>
      <c r="O38" s="631"/>
    </row>
    <row r="39" spans="1:15" ht="15.75" customHeight="1">
      <c r="A39" s="841"/>
      <c r="B39" s="845"/>
      <c r="C39" s="845"/>
      <c r="D39" s="845"/>
      <c r="E39" s="843"/>
      <c r="F39" s="843"/>
      <c r="G39" s="844"/>
      <c r="H39" s="844"/>
      <c r="I39" s="632">
        <f t="shared" si="1"/>
        <v>810000</v>
      </c>
      <c r="J39" s="629" t="s">
        <v>141</v>
      </c>
      <c r="K39" s="634">
        <v>250000</v>
      </c>
      <c r="L39" s="634">
        <v>560000</v>
      </c>
      <c r="M39" s="630"/>
      <c r="N39" s="630"/>
      <c r="O39" s="631"/>
    </row>
    <row r="40" spans="1:15" ht="12">
      <c r="A40" s="841"/>
      <c r="B40" s="845"/>
      <c r="C40" s="845"/>
      <c r="D40" s="845"/>
      <c r="E40" s="843"/>
      <c r="F40" s="843"/>
      <c r="G40" s="844"/>
      <c r="H40" s="844"/>
      <c r="I40" s="632">
        <f t="shared" si="1"/>
        <v>0</v>
      </c>
      <c r="J40" s="629" t="s">
        <v>147</v>
      </c>
      <c r="K40" s="634"/>
      <c r="L40" s="634"/>
      <c r="M40" s="630"/>
      <c r="N40" s="634"/>
      <c r="O40" s="631"/>
    </row>
    <row r="41" spans="1:15" ht="11.25" customHeight="1">
      <c r="A41" s="849" t="s">
        <v>159</v>
      </c>
      <c r="B41" s="849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631"/>
    </row>
    <row r="42" spans="1:15" ht="12.75" customHeight="1">
      <c r="A42" s="841" t="s">
        <v>160</v>
      </c>
      <c r="B42" s="845">
        <v>900</v>
      </c>
      <c r="C42" s="845">
        <v>90001</v>
      </c>
      <c r="D42" s="845">
        <v>6050</v>
      </c>
      <c r="E42" s="843" t="s">
        <v>161</v>
      </c>
      <c r="F42" s="843" t="s">
        <v>162</v>
      </c>
      <c r="G42" s="846">
        <v>2009</v>
      </c>
      <c r="H42" s="846">
        <v>2013</v>
      </c>
      <c r="I42" s="632">
        <f>SUM(I43:I45)</f>
        <v>56606000</v>
      </c>
      <c r="J42" s="629" t="s">
        <v>139</v>
      </c>
      <c r="K42" s="630">
        <f>K43+K44+K45</f>
        <v>5909000</v>
      </c>
      <c r="L42" s="630">
        <f>L43+L44+L45</f>
        <v>36990000</v>
      </c>
      <c r="M42" s="630">
        <f>M43+M44+M45</f>
        <v>6509000</v>
      </c>
      <c r="N42" s="630">
        <f>N43+N44+N45</f>
        <v>5643000</v>
      </c>
      <c r="O42" s="631"/>
    </row>
    <row r="43" spans="1:15" ht="24">
      <c r="A43" s="841"/>
      <c r="B43" s="845"/>
      <c r="C43" s="845"/>
      <c r="D43" s="845"/>
      <c r="E43" s="843"/>
      <c r="F43" s="843"/>
      <c r="G43" s="846"/>
      <c r="H43" s="846"/>
      <c r="I43" s="632">
        <f>K43+L43+M43+N43</f>
        <v>0</v>
      </c>
      <c r="J43" s="633" t="s">
        <v>140</v>
      </c>
      <c r="K43" s="630"/>
      <c r="L43" s="634"/>
      <c r="M43" s="634"/>
      <c r="N43" s="634"/>
      <c r="O43" s="631"/>
    </row>
    <row r="44" spans="1:15" ht="12">
      <c r="A44" s="841"/>
      <c r="B44" s="845"/>
      <c r="C44" s="845"/>
      <c r="D44" s="845"/>
      <c r="E44" s="843"/>
      <c r="F44" s="843"/>
      <c r="G44" s="846"/>
      <c r="H44" s="846"/>
      <c r="I44" s="632">
        <f>K44+L44+M44+N44</f>
        <v>0</v>
      </c>
      <c r="J44" s="629" t="s">
        <v>141</v>
      </c>
      <c r="K44" s="638"/>
      <c r="L44" s="634"/>
      <c r="M44" s="630"/>
      <c r="N44" s="630"/>
      <c r="O44" s="631"/>
    </row>
    <row r="45" spans="1:15" ht="12">
      <c r="A45" s="841"/>
      <c r="B45" s="845"/>
      <c r="C45" s="845"/>
      <c r="D45" s="845"/>
      <c r="E45" s="843"/>
      <c r="F45" s="843"/>
      <c r="G45" s="846"/>
      <c r="H45" s="846"/>
      <c r="I45" s="632">
        <f>K45+L45+M45+N45+1555000</f>
        <v>56606000</v>
      </c>
      <c r="J45" s="629" t="s">
        <v>147</v>
      </c>
      <c r="K45" s="630">
        <v>5909000</v>
      </c>
      <c r="L45" s="634">
        <v>36990000</v>
      </c>
      <c r="M45" s="630">
        <v>6509000</v>
      </c>
      <c r="N45" s="630">
        <v>5643000</v>
      </c>
      <c r="O45" s="631"/>
    </row>
    <row r="46" spans="1:15" ht="12.75" customHeight="1" hidden="1">
      <c r="A46" s="848" t="s">
        <v>152</v>
      </c>
      <c r="B46" s="848"/>
      <c r="C46" s="848"/>
      <c r="D46" s="848"/>
      <c r="E46" s="848"/>
      <c r="F46" s="848"/>
      <c r="G46" s="848"/>
      <c r="H46" s="848"/>
      <c r="I46" s="848">
        <f>K46+L46+M46+N46</f>
        <v>0</v>
      </c>
      <c r="J46" s="848"/>
      <c r="K46" s="848"/>
      <c r="L46" s="848"/>
      <c r="M46" s="848"/>
      <c r="N46" s="848"/>
      <c r="O46" s="631"/>
    </row>
    <row r="47" spans="1:15" ht="12.75" customHeight="1">
      <c r="A47" s="841" t="s">
        <v>163</v>
      </c>
      <c r="B47" s="845">
        <v>900</v>
      </c>
      <c r="C47" s="845">
        <v>90001</v>
      </c>
      <c r="D47" s="845">
        <v>6050</v>
      </c>
      <c r="E47" s="847" t="s">
        <v>164</v>
      </c>
      <c r="F47" s="847" t="s">
        <v>146</v>
      </c>
      <c r="G47" s="846">
        <v>2007</v>
      </c>
      <c r="H47" s="846">
        <v>2011</v>
      </c>
      <c r="I47" s="632">
        <f>SUM(I48:I50)</f>
        <v>306270</v>
      </c>
      <c r="J47" s="629" t="s">
        <v>139</v>
      </c>
      <c r="K47" s="630">
        <f>K49</f>
        <v>75000</v>
      </c>
      <c r="L47" s="630">
        <f>L49</f>
        <v>75000</v>
      </c>
      <c r="M47" s="630">
        <f>M49</f>
        <v>0</v>
      </c>
      <c r="N47" s="630"/>
      <c r="O47" s="631"/>
    </row>
    <row r="48" spans="1:15" ht="24">
      <c r="A48" s="841"/>
      <c r="B48" s="845"/>
      <c r="C48" s="845"/>
      <c r="D48" s="845"/>
      <c r="E48" s="847"/>
      <c r="F48" s="847"/>
      <c r="G48" s="846"/>
      <c r="H48" s="846"/>
      <c r="I48" s="632">
        <f>K48+L48+M48+N48</f>
        <v>0</v>
      </c>
      <c r="J48" s="633" t="s">
        <v>140</v>
      </c>
      <c r="K48" s="630"/>
      <c r="L48" s="630"/>
      <c r="M48" s="630"/>
      <c r="N48" s="630"/>
      <c r="O48" s="631"/>
    </row>
    <row r="49" spans="1:15" ht="15.75" customHeight="1">
      <c r="A49" s="841"/>
      <c r="B49" s="845"/>
      <c r="C49" s="845"/>
      <c r="D49" s="845"/>
      <c r="E49" s="847"/>
      <c r="F49" s="847"/>
      <c r="G49" s="846"/>
      <c r="H49" s="846"/>
      <c r="I49" s="632">
        <f>K49+L49+M49+N49+156270</f>
        <v>306270</v>
      </c>
      <c r="J49" s="629" t="s">
        <v>141</v>
      </c>
      <c r="K49" s="630">
        <v>75000</v>
      </c>
      <c r="L49" s="630">
        <v>75000</v>
      </c>
      <c r="M49" s="630"/>
      <c r="N49" s="630"/>
      <c r="O49" s="631"/>
    </row>
    <row r="50" spans="1:15" ht="15.75" customHeight="1">
      <c r="A50" s="841"/>
      <c r="B50" s="845"/>
      <c r="C50" s="845"/>
      <c r="D50" s="845"/>
      <c r="E50" s="847"/>
      <c r="F50" s="847"/>
      <c r="G50" s="846"/>
      <c r="H50" s="846"/>
      <c r="I50" s="632">
        <f>K50+L50+M50+N50</f>
        <v>0</v>
      </c>
      <c r="J50" s="629" t="s">
        <v>147</v>
      </c>
      <c r="K50" s="630"/>
      <c r="L50" s="630"/>
      <c r="M50" s="630"/>
      <c r="N50" s="630"/>
      <c r="O50" s="631"/>
    </row>
    <row r="51" spans="1:256" s="643" customFormat="1" ht="12.75" customHeight="1">
      <c r="A51" s="841" t="s">
        <v>165</v>
      </c>
      <c r="B51" s="845">
        <v>921</v>
      </c>
      <c r="C51" s="845">
        <v>92109</v>
      </c>
      <c r="D51" s="845">
        <v>6229</v>
      </c>
      <c r="E51" s="850" t="s">
        <v>166</v>
      </c>
      <c r="F51" s="843" t="s">
        <v>146</v>
      </c>
      <c r="G51" s="846">
        <v>2010</v>
      </c>
      <c r="H51" s="846">
        <v>2011</v>
      </c>
      <c r="I51" s="632">
        <f>K51+L51+M51+N51+293408</f>
        <v>1023408</v>
      </c>
      <c r="J51" s="629" t="s">
        <v>139</v>
      </c>
      <c r="K51" s="630">
        <f>K52+K53</f>
        <v>30000</v>
      </c>
      <c r="L51" s="630">
        <f>L54+L53</f>
        <v>700000</v>
      </c>
      <c r="M51" s="630"/>
      <c r="N51" s="630"/>
      <c r="O51" s="617"/>
      <c r="P51" s="639"/>
      <c r="Q51" s="639"/>
      <c r="R51" s="639"/>
      <c r="S51" s="640"/>
      <c r="T51" s="640"/>
      <c r="U51" s="641"/>
      <c r="V51" s="641"/>
      <c r="W51" s="642"/>
      <c r="AE51" s="617"/>
      <c r="AF51" s="639"/>
      <c r="AG51" s="639"/>
      <c r="AH51" s="639"/>
      <c r="AI51" s="640"/>
      <c r="AJ51" s="640"/>
      <c r="AK51" s="641"/>
      <c r="AL51" s="641"/>
      <c r="AM51" s="642"/>
      <c r="AU51" s="617"/>
      <c r="AV51" s="639"/>
      <c r="AW51" s="639"/>
      <c r="AX51" s="639"/>
      <c r="AY51" s="640"/>
      <c r="AZ51" s="640"/>
      <c r="BA51" s="641"/>
      <c r="BB51" s="641"/>
      <c r="BC51" s="642"/>
      <c r="BK51" s="617"/>
      <c r="BL51" s="639"/>
      <c r="BM51" s="639"/>
      <c r="BN51" s="639"/>
      <c r="BO51" s="640"/>
      <c r="BP51" s="640"/>
      <c r="BQ51" s="641"/>
      <c r="BR51" s="641"/>
      <c r="BS51" s="642"/>
      <c r="CA51" s="617"/>
      <c r="CB51" s="639"/>
      <c r="CC51" s="639"/>
      <c r="CD51" s="639"/>
      <c r="CE51" s="640"/>
      <c r="CF51" s="640"/>
      <c r="CG51" s="641"/>
      <c r="CH51" s="641"/>
      <c r="CI51" s="642"/>
      <c r="CQ51" s="617"/>
      <c r="CR51" s="639"/>
      <c r="CS51" s="639"/>
      <c r="CT51" s="639"/>
      <c r="CU51" s="640"/>
      <c r="CV51" s="640"/>
      <c r="CW51" s="641"/>
      <c r="CX51" s="641"/>
      <c r="CY51" s="642"/>
      <c r="DG51" s="617"/>
      <c r="DH51" s="639"/>
      <c r="DI51" s="639"/>
      <c r="DJ51" s="639"/>
      <c r="DK51" s="640"/>
      <c r="DL51" s="640"/>
      <c r="DM51" s="641"/>
      <c r="DN51" s="641"/>
      <c r="DO51" s="642"/>
      <c r="DW51" s="617"/>
      <c r="DX51" s="639"/>
      <c r="DY51" s="639"/>
      <c r="DZ51" s="639"/>
      <c r="EA51" s="640"/>
      <c r="EB51" s="640"/>
      <c r="EC51" s="641"/>
      <c r="ED51" s="641"/>
      <c r="EE51" s="642"/>
      <c r="EM51" s="617"/>
      <c r="EN51" s="639"/>
      <c r="EO51" s="639"/>
      <c r="EP51" s="639"/>
      <c r="EQ51" s="640"/>
      <c r="ER51" s="640"/>
      <c r="ES51" s="641"/>
      <c r="ET51" s="641"/>
      <c r="EU51" s="642"/>
      <c r="FC51" s="617"/>
      <c r="FD51" s="639"/>
      <c r="FE51" s="639"/>
      <c r="FF51" s="639"/>
      <c r="FG51" s="640"/>
      <c r="FH51" s="640"/>
      <c r="FI51" s="641"/>
      <c r="FJ51" s="641"/>
      <c r="FK51" s="642"/>
      <c r="FS51" s="617"/>
      <c r="FT51" s="639"/>
      <c r="FU51" s="639"/>
      <c r="FV51" s="639"/>
      <c r="FW51" s="640"/>
      <c r="FX51" s="640"/>
      <c r="FY51" s="641"/>
      <c r="FZ51" s="641"/>
      <c r="GA51" s="642"/>
      <c r="GI51" s="617"/>
      <c r="GJ51" s="639"/>
      <c r="GK51" s="639"/>
      <c r="GL51" s="639"/>
      <c r="GM51" s="640"/>
      <c r="GN51" s="640"/>
      <c r="GO51" s="641"/>
      <c r="GP51" s="641"/>
      <c r="GQ51" s="642"/>
      <c r="GY51" s="617"/>
      <c r="GZ51" s="639"/>
      <c r="HA51" s="639"/>
      <c r="HB51" s="639"/>
      <c r="HC51" s="640"/>
      <c r="HD51" s="640"/>
      <c r="HE51" s="641"/>
      <c r="HF51" s="641"/>
      <c r="HG51" s="642"/>
      <c r="HO51" s="617"/>
      <c r="HP51" s="639"/>
      <c r="HQ51" s="639"/>
      <c r="HR51" s="639"/>
      <c r="HS51" s="640"/>
      <c r="HT51" s="640"/>
      <c r="HU51" s="641"/>
      <c r="HV51" s="641"/>
      <c r="HW51" s="642"/>
      <c r="IE51" s="617"/>
      <c r="IF51" s="639"/>
      <c r="IG51" s="639"/>
      <c r="IH51" s="639"/>
      <c r="II51" s="640"/>
      <c r="IJ51" s="640"/>
      <c r="IK51" s="641"/>
      <c r="IL51" s="641"/>
      <c r="IM51" s="642"/>
      <c r="IU51" s="617"/>
      <c r="IV51" s="617"/>
    </row>
    <row r="52" spans="1:256" s="643" customFormat="1" ht="24">
      <c r="A52" s="841"/>
      <c r="B52" s="845"/>
      <c r="C52" s="845"/>
      <c r="D52" s="845"/>
      <c r="E52" s="850"/>
      <c r="F52" s="850"/>
      <c r="G52" s="846"/>
      <c r="H52" s="846"/>
      <c r="I52" s="632">
        <f>K52+L54+M52+N52</f>
        <v>0</v>
      </c>
      <c r="J52" s="633" t="s">
        <v>140</v>
      </c>
      <c r="K52" s="630"/>
      <c r="L52"/>
      <c r="M52" s="630"/>
      <c r="N52" s="630"/>
      <c r="O52" s="617"/>
      <c r="P52" s="639"/>
      <c r="Q52" s="639"/>
      <c r="R52" s="639"/>
      <c r="S52" s="640"/>
      <c r="T52" s="640"/>
      <c r="U52" s="641"/>
      <c r="V52" s="641"/>
      <c r="W52" s="642"/>
      <c r="AE52" s="617"/>
      <c r="AF52" s="639"/>
      <c r="AG52" s="639"/>
      <c r="AH52" s="639"/>
      <c r="AI52" s="640"/>
      <c r="AJ52" s="640"/>
      <c r="AK52" s="641"/>
      <c r="AL52" s="641"/>
      <c r="AM52" s="642"/>
      <c r="AU52" s="617"/>
      <c r="AV52" s="639"/>
      <c r="AW52" s="639"/>
      <c r="AX52" s="639"/>
      <c r="AY52" s="640"/>
      <c r="AZ52" s="640"/>
      <c r="BA52" s="641"/>
      <c r="BB52" s="641"/>
      <c r="BC52" s="642"/>
      <c r="BK52" s="617"/>
      <c r="BL52" s="639"/>
      <c r="BM52" s="639"/>
      <c r="BN52" s="639"/>
      <c r="BO52" s="640"/>
      <c r="BP52" s="640"/>
      <c r="BQ52" s="641"/>
      <c r="BR52" s="641"/>
      <c r="BS52" s="642"/>
      <c r="CA52" s="617"/>
      <c r="CB52" s="639"/>
      <c r="CC52" s="639"/>
      <c r="CD52" s="639"/>
      <c r="CE52" s="640"/>
      <c r="CF52" s="640"/>
      <c r="CG52" s="641"/>
      <c r="CH52" s="641"/>
      <c r="CI52" s="642"/>
      <c r="CQ52" s="617"/>
      <c r="CR52" s="639"/>
      <c r="CS52" s="639"/>
      <c r="CT52" s="639"/>
      <c r="CU52" s="640"/>
      <c r="CV52" s="640"/>
      <c r="CW52" s="641"/>
      <c r="CX52" s="641"/>
      <c r="CY52" s="642"/>
      <c r="DG52" s="617"/>
      <c r="DH52" s="639"/>
      <c r="DI52" s="639"/>
      <c r="DJ52" s="639"/>
      <c r="DK52" s="640"/>
      <c r="DL52" s="640"/>
      <c r="DM52" s="641"/>
      <c r="DN52" s="641"/>
      <c r="DO52" s="642"/>
      <c r="DW52" s="617"/>
      <c r="DX52" s="639"/>
      <c r="DY52" s="639"/>
      <c r="DZ52" s="639"/>
      <c r="EA52" s="640"/>
      <c r="EB52" s="640"/>
      <c r="EC52" s="641"/>
      <c r="ED52" s="641"/>
      <c r="EE52" s="642"/>
      <c r="EM52" s="617"/>
      <c r="EN52" s="639"/>
      <c r="EO52" s="639"/>
      <c r="EP52" s="639"/>
      <c r="EQ52" s="640"/>
      <c r="ER52" s="640"/>
      <c r="ES52" s="641"/>
      <c r="ET52" s="641"/>
      <c r="EU52" s="642"/>
      <c r="FC52" s="617"/>
      <c r="FD52" s="639"/>
      <c r="FE52" s="639"/>
      <c r="FF52" s="639"/>
      <c r="FG52" s="640"/>
      <c r="FH52" s="640"/>
      <c r="FI52" s="641"/>
      <c r="FJ52" s="641"/>
      <c r="FK52" s="642"/>
      <c r="FS52" s="617"/>
      <c r="FT52" s="639"/>
      <c r="FU52" s="639"/>
      <c r="FV52" s="639"/>
      <c r="FW52" s="640"/>
      <c r="FX52" s="640"/>
      <c r="FY52" s="641"/>
      <c r="FZ52" s="641"/>
      <c r="GA52" s="642"/>
      <c r="GI52" s="617"/>
      <c r="GJ52" s="639"/>
      <c r="GK52" s="639"/>
      <c r="GL52" s="639"/>
      <c r="GM52" s="640"/>
      <c r="GN52" s="640"/>
      <c r="GO52" s="641"/>
      <c r="GP52" s="641"/>
      <c r="GQ52" s="642"/>
      <c r="GY52" s="617"/>
      <c r="GZ52" s="639"/>
      <c r="HA52" s="639"/>
      <c r="HB52" s="639"/>
      <c r="HC52" s="640"/>
      <c r="HD52" s="640"/>
      <c r="HE52" s="641"/>
      <c r="HF52" s="641"/>
      <c r="HG52" s="642"/>
      <c r="HO52" s="617"/>
      <c r="HP52" s="639"/>
      <c r="HQ52" s="639"/>
      <c r="HR52" s="639"/>
      <c r="HS52" s="640"/>
      <c r="HT52" s="640"/>
      <c r="HU52" s="641"/>
      <c r="HV52" s="641"/>
      <c r="HW52" s="642"/>
      <c r="IE52" s="617"/>
      <c r="IF52" s="639"/>
      <c r="IG52" s="639"/>
      <c r="IH52" s="639"/>
      <c r="II52" s="640"/>
      <c r="IJ52" s="640"/>
      <c r="IK52" s="641"/>
      <c r="IL52" s="641"/>
      <c r="IM52" s="642"/>
      <c r="IU52" s="617"/>
      <c r="IV52" s="617"/>
    </row>
    <row r="53" spans="1:256" s="643" customFormat="1" ht="12">
      <c r="A53" s="841"/>
      <c r="B53" s="845"/>
      <c r="C53" s="845"/>
      <c r="D53" s="845"/>
      <c r="E53" s="850"/>
      <c r="F53" s="850"/>
      <c r="G53" s="846"/>
      <c r="H53" s="846"/>
      <c r="I53" s="632">
        <f>K53+L53+M53+N53</f>
        <v>730000</v>
      </c>
      <c r="J53" s="629" t="s">
        <v>141</v>
      </c>
      <c r="K53" s="630">
        <v>30000</v>
      </c>
      <c r="L53" s="630">
        <v>700000</v>
      </c>
      <c r="M53" s="630"/>
      <c r="N53" s="630"/>
      <c r="O53" s="617"/>
      <c r="P53" s="639"/>
      <c r="Q53" s="639"/>
      <c r="R53" s="639"/>
      <c r="S53" s="640"/>
      <c r="T53" s="640"/>
      <c r="U53" s="641"/>
      <c r="V53" s="641"/>
      <c r="W53" s="642"/>
      <c r="AE53" s="617"/>
      <c r="AF53" s="639"/>
      <c r="AG53" s="639"/>
      <c r="AH53" s="639"/>
      <c r="AI53" s="640"/>
      <c r="AJ53" s="640"/>
      <c r="AK53" s="641"/>
      <c r="AL53" s="641"/>
      <c r="AM53" s="642"/>
      <c r="AU53" s="617"/>
      <c r="AV53" s="639"/>
      <c r="AW53" s="639"/>
      <c r="AX53" s="639"/>
      <c r="AY53" s="640"/>
      <c r="AZ53" s="640"/>
      <c r="BA53" s="641"/>
      <c r="BB53" s="641"/>
      <c r="BC53" s="642"/>
      <c r="BK53" s="617"/>
      <c r="BL53" s="639"/>
      <c r="BM53" s="639"/>
      <c r="BN53" s="639"/>
      <c r="BO53" s="640"/>
      <c r="BP53" s="640"/>
      <c r="BQ53" s="641"/>
      <c r="BR53" s="641"/>
      <c r="BS53" s="642"/>
      <c r="CA53" s="617"/>
      <c r="CB53" s="639"/>
      <c r="CC53" s="639"/>
      <c r="CD53" s="639"/>
      <c r="CE53" s="640"/>
      <c r="CF53" s="640"/>
      <c r="CG53" s="641"/>
      <c r="CH53" s="641"/>
      <c r="CI53" s="642"/>
      <c r="CQ53" s="617"/>
      <c r="CR53" s="639"/>
      <c r="CS53" s="639"/>
      <c r="CT53" s="639"/>
      <c r="CU53" s="640"/>
      <c r="CV53" s="640"/>
      <c r="CW53" s="641"/>
      <c r="CX53" s="641"/>
      <c r="CY53" s="642"/>
      <c r="DG53" s="617"/>
      <c r="DH53" s="639"/>
      <c r="DI53" s="639"/>
      <c r="DJ53" s="639"/>
      <c r="DK53" s="640"/>
      <c r="DL53" s="640"/>
      <c r="DM53" s="641"/>
      <c r="DN53" s="641"/>
      <c r="DO53" s="642"/>
      <c r="DW53" s="617"/>
      <c r="DX53" s="639"/>
      <c r="DY53" s="639"/>
      <c r="DZ53" s="639"/>
      <c r="EA53" s="640"/>
      <c r="EB53" s="640"/>
      <c r="EC53" s="641"/>
      <c r="ED53" s="641"/>
      <c r="EE53" s="642"/>
      <c r="EM53" s="617"/>
      <c r="EN53" s="639"/>
      <c r="EO53" s="639"/>
      <c r="EP53" s="639"/>
      <c r="EQ53" s="640"/>
      <c r="ER53" s="640"/>
      <c r="ES53" s="641"/>
      <c r="ET53" s="641"/>
      <c r="EU53" s="642"/>
      <c r="FC53" s="617"/>
      <c r="FD53" s="639"/>
      <c r="FE53" s="639"/>
      <c r="FF53" s="639"/>
      <c r="FG53" s="640"/>
      <c r="FH53" s="640"/>
      <c r="FI53" s="641"/>
      <c r="FJ53" s="641"/>
      <c r="FK53" s="642"/>
      <c r="FS53" s="617"/>
      <c r="FT53" s="639"/>
      <c r="FU53" s="639"/>
      <c r="FV53" s="639"/>
      <c r="FW53" s="640"/>
      <c r="FX53" s="640"/>
      <c r="FY53" s="641"/>
      <c r="FZ53" s="641"/>
      <c r="GA53" s="642"/>
      <c r="GI53" s="617"/>
      <c r="GJ53" s="639"/>
      <c r="GK53" s="639"/>
      <c r="GL53" s="639"/>
      <c r="GM53" s="640"/>
      <c r="GN53" s="640"/>
      <c r="GO53" s="641"/>
      <c r="GP53" s="641"/>
      <c r="GQ53" s="642"/>
      <c r="GY53" s="617"/>
      <c r="GZ53" s="639"/>
      <c r="HA53" s="639"/>
      <c r="HB53" s="639"/>
      <c r="HC53" s="640"/>
      <c r="HD53" s="640"/>
      <c r="HE53" s="641"/>
      <c r="HF53" s="641"/>
      <c r="HG53" s="642"/>
      <c r="HO53" s="617"/>
      <c r="HP53" s="639"/>
      <c r="HQ53" s="639"/>
      <c r="HR53" s="639"/>
      <c r="HS53" s="640"/>
      <c r="HT53" s="640"/>
      <c r="HU53" s="641"/>
      <c r="HV53" s="641"/>
      <c r="HW53" s="642"/>
      <c r="IE53" s="617"/>
      <c r="IF53" s="639"/>
      <c r="IG53" s="639"/>
      <c r="IH53" s="639"/>
      <c r="II53" s="640"/>
      <c r="IJ53" s="640"/>
      <c r="IK53" s="641"/>
      <c r="IL53" s="641"/>
      <c r="IM53" s="642"/>
      <c r="IU53" s="617"/>
      <c r="IV53" s="617"/>
    </row>
    <row r="54" spans="1:256" s="643" customFormat="1" ht="12">
      <c r="A54" s="841"/>
      <c r="B54" s="845"/>
      <c r="C54" s="845"/>
      <c r="D54" s="845"/>
      <c r="E54" s="850"/>
      <c r="F54" s="850"/>
      <c r="G54" s="846"/>
      <c r="H54" s="846"/>
      <c r="I54" s="632">
        <f>K54+L54+M54+N54</f>
        <v>0</v>
      </c>
      <c r="J54" s="629" t="s">
        <v>147</v>
      </c>
      <c r="K54" s="630"/>
      <c r="L54" s="630"/>
      <c r="M54" s="630"/>
      <c r="N54" s="630"/>
      <c r="O54" s="617"/>
      <c r="P54" s="639"/>
      <c r="Q54" s="639"/>
      <c r="R54" s="639"/>
      <c r="S54" s="640"/>
      <c r="T54" s="640"/>
      <c r="U54" s="641"/>
      <c r="V54" s="641"/>
      <c r="W54" s="642"/>
      <c r="AE54" s="617"/>
      <c r="AF54" s="639"/>
      <c r="AG54" s="639"/>
      <c r="AH54" s="639"/>
      <c r="AI54" s="640"/>
      <c r="AJ54" s="640"/>
      <c r="AK54" s="641"/>
      <c r="AL54" s="641"/>
      <c r="AM54" s="642"/>
      <c r="AU54" s="617"/>
      <c r="AV54" s="639"/>
      <c r="AW54" s="639"/>
      <c r="AX54" s="639"/>
      <c r="AY54" s="640"/>
      <c r="AZ54" s="640"/>
      <c r="BA54" s="641"/>
      <c r="BB54" s="641"/>
      <c r="BC54" s="642"/>
      <c r="BK54" s="617"/>
      <c r="BL54" s="639"/>
      <c r="BM54" s="639"/>
      <c r="BN54" s="639"/>
      <c r="BO54" s="640"/>
      <c r="BP54" s="640"/>
      <c r="BQ54" s="641"/>
      <c r="BR54" s="641"/>
      <c r="BS54" s="642"/>
      <c r="CA54" s="617"/>
      <c r="CB54" s="639"/>
      <c r="CC54" s="639"/>
      <c r="CD54" s="639"/>
      <c r="CE54" s="640"/>
      <c r="CF54" s="640"/>
      <c r="CG54" s="641"/>
      <c r="CH54" s="641"/>
      <c r="CI54" s="642"/>
      <c r="CQ54" s="617"/>
      <c r="CR54" s="639"/>
      <c r="CS54" s="639"/>
      <c r="CT54" s="639"/>
      <c r="CU54" s="640"/>
      <c r="CV54" s="640"/>
      <c r="CW54" s="641"/>
      <c r="CX54" s="641"/>
      <c r="CY54" s="642"/>
      <c r="DG54" s="617"/>
      <c r="DH54" s="639"/>
      <c r="DI54" s="639"/>
      <c r="DJ54" s="639"/>
      <c r="DK54" s="640"/>
      <c r="DL54" s="640"/>
      <c r="DM54" s="641"/>
      <c r="DN54" s="641"/>
      <c r="DO54" s="642"/>
      <c r="DW54" s="617"/>
      <c r="DX54" s="639"/>
      <c r="DY54" s="639"/>
      <c r="DZ54" s="639"/>
      <c r="EA54" s="640"/>
      <c r="EB54" s="640"/>
      <c r="EC54" s="641"/>
      <c r="ED54" s="641"/>
      <c r="EE54" s="642"/>
      <c r="EM54" s="617"/>
      <c r="EN54" s="639"/>
      <c r="EO54" s="639"/>
      <c r="EP54" s="639"/>
      <c r="EQ54" s="640"/>
      <c r="ER54" s="640"/>
      <c r="ES54" s="641"/>
      <c r="ET54" s="641"/>
      <c r="EU54" s="642"/>
      <c r="FC54" s="617"/>
      <c r="FD54" s="639"/>
      <c r="FE54" s="639"/>
      <c r="FF54" s="639"/>
      <c r="FG54" s="640"/>
      <c r="FH54" s="640"/>
      <c r="FI54" s="641"/>
      <c r="FJ54" s="641"/>
      <c r="FK54" s="642"/>
      <c r="FS54" s="617"/>
      <c r="FT54" s="639"/>
      <c r="FU54" s="639"/>
      <c r="FV54" s="639"/>
      <c r="FW54" s="640"/>
      <c r="FX54" s="640"/>
      <c r="FY54" s="641"/>
      <c r="FZ54" s="641"/>
      <c r="GA54" s="642"/>
      <c r="GI54" s="617"/>
      <c r="GJ54" s="639"/>
      <c r="GK54" s="639"/>
      <c r="GL54" s="639"/>
      <c r="GM54" s="640"/>
      <c r="GN54" s="640"/>
      <c r="GO54" s="641"/>
      <c r="GP54" s="641"/>
      <c r="GQ54" s="642"/>
      <c r="GY54" s="617"/>
      <c r="GZ54" s="639"/>
      <c r="HA54" s="639"/>
      <c r="HB54" s="639"/>
      <c r="HC54" s="640"/>
      <c r="HD54" s="640"/>
      <c r="HE54" s="641"/>
      <c r="HF54" s="641"/>
      <c r="HG54" s="642"/>
      <c r="HO54" s="617"/>
      <c r="HP54" s="639"/>
      <c r="HQ54" s="639"/>
      <c r="HR54" s="639"/>
      <c r="HS54" s="640"/>
      <c r="HT54" s="640"/>
      <c r="HU54" s="641"/>
      <c r="HV54" s="641"/>
      <c r="HW54" s="642"/>
      <c r="IE54" s="617"/>
      <c r="IF54" s="639"/>
      <c r="IG54" s="639"/>
      <c r="IH54" s="639"/>
      <c r="II54" s="640"/>
      <c r="IJ54" s="640"/>
      <c r="IK54" s="641"/>
      <c r="IL54" s="641"/>
      <c r="IM54" s="642"/>
      <c r="IU54" s="617"/>
      <c r="IV54" s="617"/>
    </row>
    <row r="55" spans="1:14" ht="12.75" customHeight="1">
      <c r="A55" s="841" t="s">
        <v>167</v>
      </c>
      <c r="B55" s="845">
        <v>921</v>
      </c>
      <c r="C55" s="845">
        <v>92113</v>
      </c>
      <c r="D55" s="845">
        <v>6229</v>
      </c>
      <c r="E55" s="850" t="s">
        <v>168</v>
      </c>
      <c r="F55" s="843" t="s">
        <v>169</v>
      </c>
      <c r="G55" s="846">
        <v>2009</v>
      </c>
      <c r="H55" s="846">
        <v>2010</v>
      </c>
      <c r="I55" s="632">
        <f>K55+L55+M55+N55+293408</f>
        <v>10643627</v>
      </c>
      <c r="J55" s="629" t="s">
        <v>139</v>
      </c>
      <c r="K55" s="630">
        <f>K56+K57</f>
        <v>50000</v>
      </c>
      <c r="L55" s="630">
        <f>L58+L57</f>
        <v>10300219</v>
      </c>
      <c r="M55" s="630"/>
      <c r="N55" s="630"/>
    </row>
    <row r="56" spans="1:14" ht="24">
      <c r="A56" s="841"/>
      <c r="B56" s="845"/>
      <c r="C56" s="845"/>
      <c r="D56" s="845"/>
      <c r="E56" s="850"/>
      <c r="F56" s="850"/>
      <c r="G56" s="846"/>
      <c r="H56" s="846"/>
      <c r="I56" s="632"/>
      <c r="J56" s="633" t="s">
        <v>140</v>
      </c>
      <c r="K56" s="630"/>
      <c r="L56"/>
      <c r="M56" s="630"/>
      <c r="N56" s="630"/>
    </row>
    <row r="57" spans="1:14" ht="12">
      <c r="A57" s="841"/>
      <c r="B57" s="845"/>
      <c r="C57" s="845"/>
      <c r="D57" s="845"/>
      <c r="E57" s="850"/>
      <c r="F57" s="850"/>
      <c r="G57" s="846"/>
      <c r="H57" s="846"/>
      <c r="I57" s="632">
        <f>K57+L57+M57+N57</f>
        <v>50000</v>
      </c>
      <c r="J57" s="629" t="s">
        <v>141</v>
      </c>
      <c r="K57" s="630">
        <v>50000</v>
      </c>
      <c r="L57" s="630"/>
      <c r="M57" s="630"/>
      <c r="N57" s="630"/>
    </row>
    <row r="58" spans="1:14" ht="19.5" customHeight="1">
      <c r="A58" s="841"/>
      <c r="B58" s="845"/>
      <c r="C58" s="845"/>
      <c r="D58" s="845"/>
      <c r="E58" s="850"/>
      <c r="F58" s="850"/>
      <c r="G58" s="846"/>
      <c r="H58" s="846"/>
      <c r="I58" s="632">
        <f>K58+L58+M58+N58</f>
        <v>10300219</v>
      </c>
      <c r="J58" s="629" t="s">
        <v>147</v>
      </c>
      <c r="K58" s="630"/>
      <c r="L58" s="630">
        <v>10300219</v>
      </c>
      <c r="M58" s="630"/>
      <c r="N58" s="630"/>
    </row>
    <row r="59" spans="1:14" ht="19.5" customHeight="1">
      <c r="A59" s="841" t="s">
        <v>170</v>
      </c>
      <c r="B59" s="845">
        <v>921</v>
      </c>
      <c r="C59" s="845">
        <v>92116</v>
      </c>
      <c r="D59" s="845">
        <v>6229</v>
      </c>
      <c r="E59" s="851" t="s">
        <v>171</v>
      </c>
      <c r="F59" s="852" t="s">
        <v>146</v>
      </c>
      <c r="G59" s="846">
        <v>2010</v>
      </c>
      <c r="H59" s="846">
        <v>2012</v>
      </c>
      <c r="I59" s="632">
        <f>K59+L59+M59+N59</f>
        <v>2040000</v>
      </c>
      <c r="J59" s="629" t="s">
        <v>139</v>
      </c>
      <c r="K59" s="630">
        <f>K60+K61</f>
        <v>40000</v>
      </c>
      <c r="L59" s="630">
        <f>L60+L61</f>
        <v>2000000</v>
      </c>
      <c r="M59" s="630"/>
      <c r="N59" s="630"/>
    </row>
    <row r="60" spans="1:14" ht="19.5" customHeight="1">
      <c r="A60" s="841"/>
      <c r="B60" s="845"/>
      <c r="C60" s="845"/>
      <c r="D60" s="845"/>
      <c r="E60" s="851"/>
      <c r="F60" s="851"/>
      <c r="G60" s="846"/>
      <c r="H60" s="846"/>
      <c r="I60" s="632"/>
      <c r="J60" s="633" t="s">
        <v>140</v>
      </c>
      <c r="K60" s="630"/>
      <c r="L60"/>
      <c r="M60" s="630"/>
      <c r="N60" s="630"/>
    </row>
    <row r="61" spans="1:14" ht="19.5" customHeight="1">
      <c r="A61" s="841"/>
      <c r="B61" s="845"/>
      <c r="C61" s="845"/>
      <c r="D61" s="845"/>
      <c r="E61" s="851"/>
      <c r="F61" s="851"/>
      <c r="G61" s="846"/>
      <c r="H61" s="846"/>
      <c r="I61" s="632">
        <f>K61+L61+M61+N61</f>
        <v>2040000</v>
      </c>
      <c r="J61" s="629" t="s">
        <v>141</v>
      </c>
      <c r="K61" s="630">
        <v>40000</v>
      </c>
      <c r="L61" s="630">
        <v>2000000</v>
      </c>
      <c r="M61" s="630"/>
      <c r="N61" s="630"/>
    </row>
    <row r="62" spans="1:14" ht="19.5" customHeight="1">
      <c r="A62" s="841"/>
      <c r="B62" s="845"/>
      <c r="C62" s="845"/>
      <c r="D62" s="845"/>
      <c r="E62" s="851"/>
      <c r="F62" s="851"/>
      <c r="G62" s="846"/>
      <c r="H62" s="846"/>
      <c r="I62" s="632">
        <f>K62+L62+M62+N62</f>
        <v>10300219</v>
      </c>
      <c r="J62" s="629" t="s">
        <v>147</v>
      </c>
      <c r="K62" s="630"/>
      <c r="L62" s="630">
        <v>10300219</v>
      </c>
      <c r="M62" s="630"/>
      <c r="N62" s="630"/>
    </row>
    <row r="63" spans="1:14" ht="11.25" customHeight="1">
      <c r="A63" s="841" t="s">
        <v>172</v>
      </c>
      <c r="B63" s="845">
        <v>926</v>
      </c>
      <c r="C63" s="845">
        <v>92601</v>
      </c>
      <c r="D63" s="845">
        <v>6050</v>
      </c>
      <c r="E63" s="843" t="s">
        <v>173</v>
      </c>
      <c r="F63" s="843" t="s">
        <v>144</v>
      </c>
      <c r="G63" s="846">
        <v>2009</v>
      </c>
      <c r="H63" s="846">
        <v>2012</v>
      </c>
      <c r="I63" s="630">
        <f>I64+I65</f>
        <v>8725000</v>
      </c>
      <c r="J63" s="629" t="s">
        <v>139</v>
      </c>
      <c r="K63" s="630">
        <f>K64+K65</f>
        <v>500000</v>
      </c>
      <c r="L63" s="630">
        <f>L64+L65</f>
        <v>6310000</v>
      </c>
      <c r="M63" s="630">
        <f>M64+M65</f>
        <v>1900000</v>
      </c>
      <c r="N63" s="630"/>
    </row>
    <row r="64" spans="1:14" ht="24">
      <c r="A64" s="841"/>
      <c r="B64" s="845"/>
      <c r="C64" s="845"/>
      <c r="D64" s="845"/>
      <c r="E64" s="843"/>
      <c r="F64" s="843"/>
      <c r="G64" s="843"/>
      <c r="H64" s="843"/>
      <c r="I64" s="632">
        <f>K64+L64+M64+N64</f>
        <v>0</v>
      </c>
      <c r="J64" s="633" t="s">
        <v>140</v>
      </c>
      <c r="K64" s="630"/>
      <c r="L64" s="634"/>
      <c r="M64" s="630"/>
      <c r="N64" s="630"/>
    </row>
    <row r="65" spans="1:14" ht="12">
      <c r="A65" s="841"/>
      <c r="B65" s="845"/>
      <c r="C65" s="845"/>
      <c r="D65" s="845"/>
      <c r="E65" s="843"/>
      <c r="F65" s="843"/>
      <c r="G65" s="843"/>
      <c r="H65" s="843"/>
      <c r="I65" s="632">
        <f>K65+L65+M65+N65+15000</f>
        <v>8725000</v>
      </c>
      <c r="J65" s="629" t="s">
        <v>141</v>
      </c>
      <c r="K65" s="634">
        <v>500000</v>
      </c>
      <c r="L65" s="630">
        <v>6310000</v>
      </c>
      <c r="M65" s="630">
        <v>1900000</v>
      </c>
      <c r="N65" s="630"/>
    </row>
    <row r="66" spans="1:14" ht="12">
      <c r="A66" s="841"/>
      <c r="B66" s="845"/>
      <c r="C66" s="845"/>
      <c r="D66" s="845"/>
      <c r="E66" s="843"/>
      <c r="F66" s="843"/>
      <c r="G66" s="843"/>
      <c r="H66" s="843"/>
      <c r="I66" s="632">
        <f>K66+L66+M66+N66</f>
        <v>0</v>
      </c>
      <c r="J66" s="629" t="s">
        <v>147</v>
      </c>
      <c r="K66" s="630"/>
      <c r="L66" s="634"/>
      <c r="M66" s="630"/>
      <c r="N66" s="630"/>
    </row>
    <row r="67" spans="1:14" ht="12.75" customHeight="1" hidden="1">
      <c r="A67" s="644"/>
      <c r="B67" s="645"/>
      <c r="C67" s="645"/>
      <c r="D67" s="645"/>
      <c r="E67" s="853"/>
      <c r="F67" s="646"/>
      <c r="G67" s="854">
        <v>2008</v>
      </c>
      <c r="H67" s="854">
        <v>2010</v>
      </c>
      <c r="I67" s="647"/>
      <c r="J67" s="648" t="s">
        <v>750</v>
      </c>
      <c r="K67" s="649"/>
      <c r="L67" s="649">
        <v>100000</v>
      </c>
      <c r="M67" s="649">
        <v>125000</v>
      </c>
      <c r="N67" s="650"/>
    </row>
    <row r="68" spans="2:14" ht="12.75" customHeight="1" hidden="1">
      <c r="B68" s="651"/>
      <c r="C68" s="651"/>
      <c r="D68" s="651"/>
      <c r="E68" s="853"/>
      <c r="F68" s="652"/>
      <c r="G68" s="854"/>
      <c r="H68" s="854"/>
      <c r="I68" s="653"/>
      <c r="J68" s="654" t="s">
        <v>174</v>
      </c>
      <c r="K68" s="655"/>
      <c r="L68" s="655"/>
      <c r="M68" s="655"/>
      <c r="N68" s="656"/>
    </row>
    <row r="69" spans="2:14" ht="12.75" customHeight="1" hidden="1">
      <c r="B69" s="651"/>
      <c r="C69" s="651"/>
      <c r="D69" s="651"/>
      <c r="E69" s="853"/>
      <c r="F69" s="652"/>
      <c r="G69" s="854"/>
      <c r="H69" s="854"/>
      <c r="I69" s="653"/>
      <c r="J69" s="657" t="s">
        <v>175</v>
      </c>
      <c r="K69" s="658"/>
      <c r="L69" s="658"/>
      <c r="M69" s="658"/>
      <c r="N69" s="659"/>
    </row>
    <row r="70" spans="2:14" ht="12.75" customHeight="1" hidden="1">
      <c r="B70" s="651"/>
      <c r="C70" s="651"/>
      <c r="D70" s="651"/>
      <c r="E70" s="853"/>
      <c r="F70" s="652"/>
      <c r="G70" s="854"/>
      <c r="H70" s="854"/>
      <c r="I70" s="653"/>
      <c r="J70" s="657" t="s">
        <v>176</v>
      </c>
      <c r="K70" s="658"/>
      <c r="L70" s="658">
        <f>L67</f>
        <v>100000</v>
      </c>
      <c r="M70" s="658">
        <f>M67</f>
        <v>125000</v>
      </c>
      <c r="N70" s="659"/>
    </row>
    <row r="71" spans="2:14" ht="12.75" customHeight="1" hidden="1">
      <c r="B71" s="651"/>
      <c r="C71" s="651"/>
      <c r="D71" s="651"/>
      <c r="E71" s="853"/>
      <c r="F71" s="652"/>
      <c r="G71" s="854"/>
      <c r="H71" s="854"/>
      <c r="I71" s="653"/>
      <c r="J71" s="657" t="s">
        <v>290</v>
      </c>
      <c r="K71" s="658"/>
      <c r="L71" s="658"/>
      <c r="M71" s="658"/>
      <c r="N71" s="659"/>
    </row>
    <row r="72" spans="2:15" ht="12.75" customHeight="1" hidden="1">
      <c r="B72" s="651"/>
      <c r="C72" s="651"/>
      <c r="D72" s="651"/>
      <c r="E72" s="853"/>
      <c r="F72" s="652"/>
      <c r="G72" s="854"/>
      <c r="H72" s="854"/>
      <c r="I72" s="653"/>
      <c r="J72" s="657" t="s">
        <v>177</v>
      </c>
      <c r="K72" s="658"/>
      <c r="L72" s="658">
        <f>L70</f>
        <v>100000</v>
      </c>
      <c r="M72" s="658">
        <f>M70</f>
        <v>125000</v>
      </c>
      <c r="N72" s="659"/>
      <c r="O72" s="631"/>
    </row>
    <row r="73" spans="2:14" ht="12.75" customHeight="1" hidden="1">
      <c r="B73" s="651"/>
      <c r="C73" s="651"/>
      <c r="D73" s="651"/>
      <c r="E73" s="853"/>
      <c r="F73" s="652"/>
      <c r="G73" s="854"/>
      <c r="H73" s="854"/>
      <c r="I73" s="653"/>
      <c r="J73" s="657" t="s">
        <v>178</v>
      </c>
      <c r="K73" s="658"/>
      <c r="L73" s="658"/>
      <c r="M73" s="658"/>
      <c r="N73" s="659"/>
    </row>
    <row r="74" spans="2:14" ht="12.75" customHeight="1" hidden="1">
      <c r="B74" s="651"/>
      <c r="C74" s="651"/>
      <c r="D74" s="651"/>
      <c r="E74" s="853"/>
      <c r="F74" s="652"/>
      <c r="G74" s="854"/>
      <c r="H74" s="854"/>
      <c r="I74" s="653"/>
      <c r="J74" s="657" t="s">
        <v>179</v>
      </c>
      <c r="K74" s="658"/>
      <c r="L74" s="658"/>
      <c r="M74" s="658"/>
      <c r="N74" s="659"/>
    </row>
    <row r="75" spans="2:14" ht="12.75" customHeight="1" hidden="1">
      <c r="B75" s="651"/>
      <c r="C75" s="651"/>
      <c r="D75" s="651"/>
      <c r="E75" s="853"/>
      <c r="F75" s="660"/>
      <c r="G75" s="854"/>
      <c r="H75" s="854"/>
      <c r="I75" s="661"/>
      <c r="J75" s="662" t="s">
        <v>180</v>
      </c>
      <c r="K75" s="663"/>
      <c r="L75" s="663"/>
      <c r="M75" s="663"/>
      <c r="N75" s="664"/>
    </row>
    <row r="76" spans="1:15" ht="12" hidden="1">
      <c r="A76" s="644"/>
      <c r="B76" s="645"/>
      <c r="C76" s="645"/>
      <c r="D76" s="645"/>
      <c r="E76" s="853"/>
      <c r="F76" s="646"/>
      <c r="G76" s="854">
        <v>2008</v>
      </c>
      <c r="H76" s="854">
        <v>2008</v>
      </c>
      <c r="I76" s="647"/>
      <c r="J76" s="648" t="s">
        <v>750</v>
      </c>
      <c r="K76" s="649"/>
      <c r="L76" s="649"/>
      <c r="M76" s="649"/>
      <c r="N76" s="650"/>
      <c r="O76" s="631"/>
    </row>
    <row r="77" spans="2:15" ht="12" hidden="1">
      <c r="B77" s="651"/>
      <c r="C77" s="651"/>
      <c r="D77" s="651"/>
      <c r="E77" s="853"/>
      <c r="F77" s="652"/>
      <c r="G77" s="854"/>
      <c r="H77" s="854"/>
      <c r="I77" s="653"/>
      <c r="J77" s="654" t="s">
        <v>174</v>
      </c>
      <c r="K77" s="655"/>
      <c r="L77" s="655"/>
      <c r="M77" s="655"/>
      <c r="N77" s="656"/>
      <c r="O77" s="631"/>
    </row>
    <row r="78" spans="2:15" ht="12" hidden="1">
      <c r="B78" s="651"/>
      <c r="C78" s="651"/>
      <c r="D78" s="651"/>
      <c r="E78" s="853"/>
      <c r="F78" s="652"/>
      <c r="G78" s="854"/>
      <c r="H78" s="854"/>
      <c r="I78" s="653"/>
      <c r="J78" s="657" t="s">
        <v>175</v>
      </c>
      <c r="K78" s="665"/>
      <c r="L78" s="665"/>
      <c r="M78" s="658"/>
      <c r="N78" s="659"/>
      <c r="O78" s="631"/>
    </row>
    <row r="79" spans="2:15" ht="12" hidden="1">
      <c r="B79" s="651"/>
      <c r="C79" s="651"/>
      <c r="D79" s="651"/>
      <c r="E79" s="853"/>
      <c r="F79" s="652"/>
      <c r="G79" s="854"/>
      <c r="H79" s="854"/>
      <c r="I79" s="653"/>
      <c r="J79" s="657" t="s">
        <v>176</v>
      </c>
      <c r="K79" s="658"/>
      <c r="L79" s="658"/>
      <c r="M79" s="658"/>
      <c r="N79" s="659"/>
      <c r="O79" s="631"/>
    </row>
    <row r="80" spans="2:14" ht="12" hidden="1">
      <c r="B80" s="651"/>
      <c r="C80" s="651"/>
      <c r="D80" s="651"/>
      <c r="E80" s="853"/>
      <c r="F80" s="652"/>
      <c r="G80" s="854"/>
      <c r="H80" s="854"/>
      <c r="I80" s="653"/>
      <c r="J80" s="657" t="s">
        <v>290</v>
      </c>
      <c r="K80" s="658"/>
      <c r="L80" s="658"/>
      <c r="M80" s="658"/>
      <c r="N80" s="659"/>
    </row>
    <row r="81" spans="2:14" ht="12" hidden="1">
      <c r="B81" s="651"/>
      <c r="C81" s="651"/>
      <c r="D81" s="651"/>
      <c r="E81" s="853"/>
      <c r="F81" s="652"/>
      <c r="G81" s="854"/>
      <c r="H81" s="854"/>
      <c r="I81" s="653"/>
      <c r="J81" s="657" t="s">
        <v>177</v>
      </c>
      <c r="K81" s="658"/>
      <c r="L81" s="658"/>
      <c r="M81" s="658"/>
      <c r="N81" s="659"/>
    </row>
    <row r="82" spans="2:14" ht="12" hidden="1">
      <c r="B82" s="651"/>
      <c r="C82" s="651"/>
      <c r="D82" s="651"/>
      <c r="E82" s="853"/>
      <c r="F82" s="652"/>
      <c r="G82" s="854"/>
      <c r="H82" s="854"/>
      <c r="I82" s="653"/>
      <c r="J82" s="657" t="s">
        <v>178</v>
      </c>
      <c r="K82" s="658"/>
      <c r="L82" s="658"/>
      <c r="M82" s="658"/>
      <c r="N82" s="659"/>
    </row>
    <row r="83" spans="2:14" ht="12" hidden="1">
      <c r="B83" s="651"/>
      <c r="C83" s="651"/>
      <c r="D83" s="651"/>
      <c r="E83" s="853"/>
      <c r="F83" s="652"/>
      <c r="G83" s="854"/>
      <c r="H83" s="854"/>
      <c r="I83" s="653"/>
      <c r="J83" s="657" t="s">
        <v>179</v>
      </c>
      <c r="K83" s="658"/>
      <c r="L83" s="658"/>
      <c r="M83" s="658"/>
      <c r="N83" s="659"/>
    </row>
    <row r="84" spans="2:14" ht="12" hidden="1">
      <c r="B84" s="651"/>
      <c r="C84" s="651"/>
      <c r="D84" s="651"/>
      <c r="E84" s="853"/>
      <c r="F84" s="660"/>
      <c r="G84" s="854"/>
      <c r="H84" s="854"/>
      <c r="I84" s="661"/>
      <c r="J84" s="662" t="s">
        <v>180</v>
      </c>
      <c r="K84" s="663"/>
      <c r="L84" s="663"/>
      <c r="M84" s="663"/>
      <c r="N84" s="664"/>
    </row>
    <row r="85" spans="1:14" ht="11.25" customHeight="1">
      <c r="A85" s="666"/>
      <c r="B85" s="617"/>
      <c r="C85" s="617"/>
      <c r="D85" s="617"/>
      <c r="E85" s="667"/>
      <c r="F85" s="667"/>
      <c r="G85" s="855"/>
      <c r="H85" s="855"/>
      <c r="I85" s="668"/>
      <c r="J85" s="669"/>
      <c r="K85" s="670"/>
      <c r="L85" s="670"/>
      <c r="M85" s="670"/>
      <c r="N85" s="670"/>
    </row>
    <row r="86" spans="1:14" ht="12">
      <c r="A86" s="666"/>
      <c r="B86" s="617"/>
      <c r="C86" s="617"/>
      <c r="D86" s="617"/>
      <c r="E86" s="671"/>
      <c r="F86" s="671"/>
      <c r="G86" s="671"/>
      <c r="H86" s="671"/>
      <c r="I86" s="672"/>
      <c r="J86" s="673"/>
      <c r="K86" s="674"/>
      <c r="L86" s="674"/>
      <c r="M86" s="674"/>
      <c r="N86" s="674"/>
    </row>
    <row r="87" spans="1:14" ht="12">
      <c r="A87" s="666"/>
      <c r="B87" s="617"/>
      <c r="C87" s="617"/>
      <c r="D87" s="617"/>
      <c r="E87" s="671"/>
      <c r="F87" s="671"/>
      <c r="G87" s="671"/>
      <c r="H87" s="671"/>
      <c r="I87" s="672"/>
      <c r="J87" s="673"/>
      <c r="K87" s="674"/>
      <c r="L87" s="674"/>
      <c r="M87" s="674"/>
      <c r="N87" s="674"/>
    </row>
    <row r="88" spans="1:14" ht="12">
      <c r="A88" s="666"/>
      <c r="B88" s="617"/>
      <c r="C88" s="617"/>
      <c r="D88" s="617"/>
      <c r="E88" s="671"/>
      <c r="F88" s="671"/>
      <c r="G88" s="671"/>
      <c r="H88" s="671"/>
      <c r="I88" s="672"/>
      <c r="J88" s="673"/>
      <c r="K88" s="674"/>
      <c r="L88" s="674"/>
      <c r="M88" s="674"/>
      <c r="N88" s="674"/>
    </row>
    <row r="89" spans="1:4" ht="12">
      <c r="A89" s="666"/>
      <c r="B89" s="617"/>
      <c r="C89" s="617"/>
      <c r="D89" s="617"/>
    </row>
    <row r="90" spans="1:4" ht="12">
      <c r="A90" s="666"/>
      <c r="B90" s="617"/>
      <c r="C90" s="617"/>
      <c r="D90" s="617"/>
    </row>
    <row r="91" spans="1:4" ht="12">
      <c r="A91" s="666"/>
      <c r="B91" s="617"/>
      <c r="C91" s="617"/>
      <c r="D91" s="617"/>
    </row>
    <row r="92" spans="1:14" ht="12">
      <c r="A92" s="666"/>
      <c r="B92" s="617"/>
      <c r="C92" s="617"/>
      <c r="D92" s="617"/>
      <c r="G92" s="675"/>
      <c r="H92" s="675"/>
      <c r="I92" s="676"/>
      <c r="K92" s="676"/>
      <c r="L92" s="676"/>
      <c r="M92" s="676"/>
      <c r="N92" s="676"/>
    </row>
    <row r="93" spans="1:14" ht="12">
      <c r="A93" s="666"/>
      <c r="B93" s="617"/>
      <c r="C93" s="617"/>
      <c r="D93" s="617"/>
      <c r="K93" s="676"/>
      <c r="L93" s="676"/>
      <c r="M93" s="676"/>
      <c r="N93" s="676"/>
    </row>
    <row r="94" spans="1:10" ht="12">
      <c r="A94" s="666"/>
      <c r="B94" s="617"/>
      <c r="C94" s="617"/>
      <c r="D94" s="617"/>
      <c r="G94" s="677"/>
      <c r="H94" s="677"/>
      <c r="I94" s="678"/>
      <c r="J94" s="679"/>
    </row>
    <row r="95" spans="1:10" ht="12">
      <c r="A95" s="666"/>
      <c r="B95" s="617"/>
      <c r="C95" s="617"/>
      <c r="D95" s="617"/>
      <c r="G95" s="677"/>
      <c r="H95" s="677"/>
      <c r="I95" s="678"/>
      <c r="J95" s="679"/>
    </row>
    <row r="96" spans="1:14" ht="12">
      <c r="A96" s="666"/>
      <c r="B96" s="617"/>
      <c r="C96" s="617"/>
      <c r="D96" s="617"/>
      <c r="E96" s="680"/>
      <c r="G96" s="677"/>
      <c r="H96" s="677"/>
      <c r="I96" s="678"/>
      <c r="J96" s="679"/>
      <c r="K96" s="681"/>
      <c r="L96" s="681"/>
      <c r="M96" s="681"/>
      <c r="N96" s="681"/>
    </row>
    <row r="97" spans="1:15" ht="12">
      <c r="A97" s="666"/>
      <c r="B97" s="617"/>
      <c r="C97" s="617"/>
      <c r="D97" s="617"/>
      <c r="E97" s="680"/>
      <c r="G97" s="677"/>
      <c r="H97" s="677"/>
      <c r="I97" s="678"/>
      <c r="J97" s="679"/>
      <c r="K97" s="681"/>
      <c r="L97" s="681"/>
      <c r="M97" s="681"/>
      <c r="N97" s="681"/>
      <c r="O97" s="631"/>
    </row>
    <row r="98" spans="1:15" ht="27.75" customHeight="1">
      <c r="A98" s="666"/>
      <c r="B98" s="617"/>
      <c r="C98" s="617"/>
      <c r="D98" s="617"/>
      <c r="E98" s="680"/>
      <c r="G98" s="677"/>
      <c r="H98" s="677"/>
      <c r="I98" s="678"/>
      <c r="J98" s="679"/>
      <c r="O98" s="631"/>
    </row>
    <row r="99" spans="1:15" ht="61.5" customHeight="1">
      <c r="A99" s="666"/>
      <c r="B99" s="682"/>
      <c r="C99" s="617"/>
      <c r="D99" s="631"/>
      <c r="E99" s="680"/>
      <c r="G99" s="677"/>
      <c r="H99" s="677"/>
      <c r="I99" s="678"/>
      <c r="J99" s="679"/>
      <c r="O99" s="631"/>
    </row>
    <row r="100" spans="1:15" ht="12">
      <c r="A100" s="666"/>
      <c r="B100" s="617"/>
      <c r="C100" s="617"/>
      <c r="D100" s="631"/>
      <c r="E100" s="680"/>
      <c r="G100" s="677"/>
      <c r="H100" s="677"/>
      <c r="I100" s="678"/>
      <c r="J100" s="679"/>
      <c r="O100" s="631"/>
    </row>
    <row r="101" spans="1:15" ht="16.5" customHeight="1">
      <c r="A101" s="666"/>
      <c r="B101" s="617"/>
      <c r="C101" s="617"/>
      <c r="D101" s="631"/>
      <c r="E101" s="680"/>
      <c r="G101" s="677"/>
      <c r="H101" s="677"/>
      <c r="I101" s="678"/>
      <c r="J101" s="679"/>
      <c r="O101" s="631"/>
    </row>
    <row r="102" spans="1:15" ht="12">
      <c r="A102" s="666"/>
      <c r="B102" s="617"/>
      <c r="C102" s="617"/>
      <c r="D102" s="631"/>
      <c r="E102" s="680"/>
      <c r="G102" s="677"/>
      <c r="H102" s="677"/>
      <c r="I102" s="678"/>
      <c r="J102" s="679"/>
      <c r="O102" s="631"/>
    </row>
    <row r="103" spans="1:15" ht="12">
      <c r="A103" s="666"/>
      <c r="B103" s="617"/>
      <c r="C103" s="617"/>
      <c r="D103" s="631"/>
      <c r="E103" s="680"/>
      <c r="G103" s="677"/>
      <c r="H103" s="677"/>
      <c r="I103" s="678"/>
      <c r="J103" s="679"/>
      <c r="O103" s="631"/>
    </row>
    <row r="104" spans="1:15" ht="12">
      <c r="A104" s="666"/>
      <c r="B104" s="617"/>
      <c r="C104" s="617"/>
      <c r="D104" s="631"/>
      <c r="E104" s="680"/>
      <c r="G104" s="677"/>
      <c r="H104" s="677"/>
      <c r="I104" s="678"/>
      <c r="J104" s="679"/>
      <c r="O104" s="631"/>
    </row>
    <row r="105" spans="1:5" ht="12">
      <c r="A105" s="666"/>
      <c r="B105" s="617"/>
      <c r="C105" s="617"/>
      <c r="D105" s="631"/>
      <c r="E105" s="680"/>
    </row>
    <row r="106" spans="1:4" ht="12">
      <c r="A106" s="666"/>
      <c r="B106" s="617"/>
      <c r="C106" s="617"/>
      <c r="D106" s="631"/>
    </row>
    <row r="107" spans="1:14" ht="12">
      <c r="A107" s="666"/>
      <c r="B107" s="617"/>
      <c r="C107" s="617"/>
      <c r="D107" s="631"/>
      <c r="N107" s="683"/>
    </row>
    <row r="108" spans="1:14" ht="12">
      <c r="A108" s="666"/>
      <c r="B108" s="617"/>
      <c r="C108" s="617"/>
      <c r="D108" s="631"/>
      <c r="E108" s="680"/>
      <c r="N108" s="683"/>
    </row>
    <row r="109" spans="1:14" ht="12">
      <c r="A109" s="666"/>
      <c r="B109" s="617"/>
      <c r="C109" s="617"/>
      <c r="D109" s="631"/>
      <c r="E109" s="680"/>
      <c r="N109" s="683"/>
    </row>
    <row r="110" spans="1:5" ht="12">
      <c r="A110" s="666"/>
      <c r="B110" s="617"/>
      <c r="C110" s="617"/>
      <c r="D110" s="631"/>
      <c r="E110" s="680"/>
    </row>
    <row r="111" spans="1:5" ht="12">
      <c r="A111" s="666"/>
      <c r="B111" s="617"/>
      <c r="C111" s="617"/>
      <c r="D111" s="631"/>
      <c r="E111" s="680"/>
    </row>
    <row r="112" spans="1:5" ht="12">
      <c r="A112" s="666"/>
      <c r="B112" s="617"/>
      <c r="C112" s="617"/>
      <c r="D112" s="631"/>
      <c r="E112" s="680"/>
    </row>
    <row r="113" spans="1:5" ht="12">
      <c r="A113" s="666"/>
      <c r="B113" s="617"/>
      <c r="C113" s="617"/>
      <c r="D113" s="631"/>
      <c r="E113" s="680"/>
    </row>
    <row r="114" spans="1:5" ht="12">
      <c r="A114" s="666"/>
      <c r="B114" s="617"/>
      <c r="C114" s="617"/>
      <c r="D114" s="631"/>
      <c r="E114" s="680"/>
    </row>
    <row r="115" spans="1:5" ht="12">
      <c r="A115" s="666"/>
      <c r="B115" s="617"/>
      <c r="C115" s="617"/>
      <c r="D115" s="631"/>
      <c r="E115" s="680"/>
    </row>
    <row r="116" spans="1:5" ht="12">
      <c r="A116" s="666"/>
      <c r="B116" s="617"/>
      <c r="C116" s="617"/>
      <c r="D116" s="631"/>
      <c r="E116" s="680"/>
    </row>
    <row r="117" spans="1:5" ht="12">
      <c r="A117" s="666"/>
      <c r="B117" s="617"/>
      <c r="C117" s="617"/>
      <c r="D117" s="631"/>
      <c r="E117" s="680"/>
    </row>
    <row r="118" spans="1:5" ht="12">
      <c r="A118" s="666"/>
      <c r="B118" s="617"/>
      <c r="C118" s="617"/>
      <c r="D118" s="631"/>
      <c r="E118" s="680"/>
    </row>
    <row r="119" spans="1:5" ht="12">
      <c r="A119" s="666"/>
      <c r="B119" s="617"/>
      <c r="C119" s="617"/>
      <c r="D119" s="631"/>
      <c r="E119" s="680"/>
    </row>
    <row r="120" spans="1:4" ht="12">
      <c r="A120" s="666"/>
      <c r="B120" s="617"/>
      <c r="C120" s="617"/>
      <c r="D120" s="631"/>
    </row>
    <row r="121" spans="1:4" ht="12">
      <c r="A121" s="666"/>
      <c r="B121" s="617"/>
      <c r="C121" s="617"/>
      <c r="D121" s="631"/>
    </row>
    <row r="122" spans="1:4" ht="12">
      <c r="A122" s="666"/>
      <c r="B122" s="617"/>
      <c r="C122" s="617"/>
      <c r="D122" s="631"/>
    </row>
    <row r="123" spans="1:4" ht="12">
      <c r="A123" s="666"/>
      <c r="B123" s="617"/>
      <c r="C123" s="617"/>
      <c r="D123" s="631"/>
    </row>
    <row r="124" spans="1:4" ht="12">
      <c r="A124" s="666"/>
      <c r="B124" s="617"/>
      <c r="C124" s="617"/>
      <c r="D124" s="631"/>
    </row>
    <row r="125" spans="1:4" ht="12">
      <c r="A125" s="666"/>
      <c r="B125" s="617"/>
      <c r="C125" s="617"/>
      <c r="D125" s="617"/>
    </row>
    <row r="126" spans="1:4" ht="12">
      <c r="A126" s="666"/>
      <c r="B126" s="617"/>
      <c r="C126" s="617"/>
      <c r="D126" s="617"/>
    </row>
    <row r="127" spans="1:4" ht="12">
      <c r="A127" s="666"/>
      <c r="B127" s="617"/>
      <c r="C127" s="617"/>
      <c r="D127" s="617"/>
    </row>
    <row r="128" spans="1:4" ht="12">
      <c r="A128" s="666"/>
      <c r="B128" s="617"/>
      <c r="C128" s="617"/>
      <c r="D128" s="617"/>
    </row>
    <row r="129" spans="1:4" ht="12">
      <c r="A129" s="666"/>
      <c r="B129" s="617"/>
      <c r="C129" s="617"/>
      <c r="D129" s="617"/>
    </row>
    <row r="130" spans="1:4" ht="12">
      <c r="A130" s="666"/>
      <c r="B130" s="617"/>
      <c r="C130" s="617"/>
      <c r="D130" s="617"/>
    </row>
    <row r="131" spans="1:4" ht="12">
      <c r="A131" s="666"/>
      <c r="B131" s="617"/>
      <c r="C131" s="617"/>
      <c r="D131" s="617"/>
    </row>
    <row r="132" spans="1:4" ht="12">
      <c r="A132" s="666"/>
      <c r="B132" s="617"/>
      <c r="C132" s="617"/>
      <c r="D132" s="617"/>
    </row>
    <row r="133" spans="1:4" ht="12">
      <c r="A133" s="666"/>
      <c r="B133" s="617"/>
      <c r="C133" s="617"/>
      <c r="D133" s="617"/>
    </row>
    <row r="134" spans="1:4" ht="12">
      <c r="A134" s="666"/>
      <c r="B134" s="617"/>
      <c r="C134" s="617"/>
      <c r="D134" s="617"/>
    </row>
    <row r="135" spans="1:4" ht="12">
      <c r="A135" s="666"/>
      <c r="B135" s="617"/>
      <c r="C135" s="617"/>
      <c r="D135" s="617"/>
    </row>
    <row r="136" spans="1:4" ht="12">
      <c r="A136" s="666"/>
      <c r="B136" s="617"/>
      <c r="C136" s="617"/>
      <c r="D136" s="617"/>
    </row>
    <row r="137" spans="1:4" ht="12">
      <c r="A137" s="666"/>
      <c r="B137" s="617"/>
      <c r="C137" s="617"/>
      <c r="D137" s="617"/>
    </row>
    <row r="138" spans="1:4" ht="12">
      <c r="A138" s="666"/>
      <c r="B138" s="617"/>
      <c r="C138" s="617"/>
      <c r="D138" s="617"/>
    </row>
    <row r="139" spans="1:4" ht="12">
      <c r="A139" s="666"/>
      <c r="B139" s="617"/>
      <c r="C139" s="617"/>
      <c r="D139" s="617"/>
    </row>
    <row r="140" spans="1:4" ht="12">
      <c r="A140" s="666"/>
      <c r="B140" s="617"/>
      <c r="C140" s="617"/>
      <c r="D140" s="617"/>
    </row>
    <row r="141" spans="1:4" ht="12">
      <c r="A141" s="666"/>
      <c r="B141" s="617"/>
      <c r="C141" s="617"/>
      <c r="D141" s="617"/>
    </row>
    <row r="142" spans="1:4" ht="12">
      <c r="A142" s="666"/>
      <c r="B142" s="617"/>
      <c r="C142" s="617"/>
      <c r="D142" s="617"/>
    </row>
    <row r="143" spans="1:4" ht="12">
      <c r="A143" s="666"/>
      <c r="B143" s="617"/>
      <c r="C143" s="617"/>
      <c r="D143" s="617"/>
    </row>
    <row r="144" spans="1:4" ht="12">
      <c r="A144" s="666"/>
      <c r="B144" s="617"/>
      <c r="C144" s="617"/>
      <c r="D144" s="617"/>
    </row>
    <row r="145" spans="1:4" ht="12">
      <c r="A145" s="666"/>
      <c r="B145" s="617"/>
      <c r="C145" s="617"/>
      <c r="D145" s="617"/>
    </row>
    <row r="146" spans="1:4" ht="12">
      <c r="A146" s="666"/>
      <c r="B146" s="617"/>
      <c r="C146" s="617"/>
      <c r="D146" s="617"/>
    </row>
    <row r="147" spans="1:4" ht="12">
      <c r="A147" s="666"/>
      <c r="B147" s="617"/>
      <c r="C147" s="617"/>
      <c r="D147" s="617"/>
    </row>
    <row r="148" spans="1:4" ht="12">
      <c r="A148" s="666"/>
      <c r="B148" s="617"/>
      <c r="C148" s="617"/>
      <c r="D148" s="617"/>
    </row>
    <row r="149" spans="1:4" ht="12">
      <c r="A149" s="666"/>
      <c r="B149" s="617"/>
      <c r="C149" s="617"/>
      <c r="D149" s="617"/>
    </row>
    <row r="150" spans="1:4" ht="12">
      <c r="A150" s="666"/>
      <c r="B150" s="617"/>
      <c r="C150" s="617"/>
      <c r="D150" s="617"/>
    </row>
    <row r="151" spans="1:4" ht="12">
      <c r="A151" s="666"/>
      <c r="B151" s="617"/>
      <c r="C151" s="617"/>
      <c r="D151" s="617"/>
    </row>
    <row r="152" spans="1:4" ht="12">
      <c r="A152" s="666"/>
      <c r="B152" s="617"/>
      <c r="C152" s="617"/>
      <c r="D152" s="617"/>
    </row>
    <row r="153" spans="1:4" ht="12">
      <c r="A153" s="666"/>
      <c r="B153" s="617"/>
      <c r="C153" s="617"/>
      <c r="D153" s="617"/>
    </row>
    <row r="154" spans="1:4" ht="12">
      <c r="A154" s="666"/>
      <c r="B154" s="617"/>
      <c r="C154" s="617"/>
      <c r="D154" s="617"/>
    </row>
    <row r="155" spans="1:4" ht="12">
      <c r="A155" s="666"/>
      <c r="B155" s="617"/>
      <c r="C155" s="617"/>
      <c r="D155" s="617"/>
    </row>
    <row r="156" spans="1:4" ht="12">
      <c r="A156" s="666"/>
      <c r="B156" s="617"/>
      <c r="C156" s="617"/>
      <c r="D156" s="617"/>
    </row>
    <row r="157" spans="1:4" ht="12">
      <c r="A157" s="666"/>
      <c r="B157" s="617"/>
      <c r="C157" s="617"/>
      <c r="D157" s="617"/>
    </row>
    <row r="158" spans="1:4" ht="12">
      <c r="A158" s="666"/>
      <c r="B158" s="617"/>
      <c r="C158" s="617"/>
      <c r="D158" s="617"/>
    </row>
    <row r="159" spans="1:4" ht="12">
      <c r="A159" s="666"/>
      <c r="B159" s="617"/>
      <c r="C159" s="617"/>
      <c r="D159" s="617"/>
    </row>
    <row r="160" spans="1:4" ht="12">
      <c r="A160" s="666"/>
      <c r="B160" s="617"/>
      <c r="C160" s="617"/>
      <c r="D160" s="617"/>
    </row>
    <row r="161" spans="1:4" ht="12">
      <c r="A161" s="666"/>
      <c r="B161" s="617"/>
      <c r="C161" s="617"/>
      <c r="D161" s="617"/>
    </row>
    <row r="162" spans="1:4" ht="12">
      <c r="A162" s="666"/>
      <c r="B162" s="617"/>
      <c r="C162" s="617"/>
      <c r="D162" s="617"/>
    </row>
    <row r="163" spans="1:4" ht="12">
      <c r="A163" s="666"/>
      <c r="B163" s="617"/>
      <c r="C163" s="617"/>
      <c r="D163" s="617"/>
    </row>
    <row r="164" spans="1:4" ht="12">
      <c r="A164" s="666"/>
      <c r="B164" s="617"/>
      <c r="C164" s="617"/>
      <c r="D164" s="617"/>
    </row>
    <row r="165" spans="1:4" ht="12">
      <c r="A165" s="666"/>
      <c r="B165" s="617"/>
      <c r="C165" s="617"/>
      <c r="D165" s="617"/>
    </row>
    <row r="166" spans="1:4" ht="12">
      <c r="A166" s="666"/>
      <c r="B166" s="617"/>
      <c r="C166" s="617"/>
      <c r="D166" s="617"/>
    </row>
    <row r="167" spans="1:4" ht="12">
      <c r="A167" s="666"/>
      <c r="B167" s="617"/>
      <c r="C167" s="617"/>
      <c r="D167" s="617"/>
    </row>
    <row r="168" spans="1:4" ht="12">
      <c r="A168" s="666"/>
      <c r="B168" s="617"/>
      <c r="C168" s="617"/>
      <c r="D168" s="617"/>
    </row>
    <row r="169" spans="1:4" ht="12">
      <c r="A169" s="666"/>
      <c r="B169" s="617"/>
      <c r="C169" s="617"/>
      <c r="D169" s="617"/>
    </row>
    <row r="170" spans="1:4" ht="12">
      <c r="A170" s="666"/>
      <c r="B170" s="617"/>
      <c r="C170" s="617"/>
      <c r="D170" s="617"/>
    </row>
    <row r="171" spans="1:4" ht="12">
      <c r="A171" s="666"/>
      <c r="B171" s="617"/>
      <c r="C171" s="617"/>
      <c r="D171" s="617"/>
    </row>
    <row r="172" spans="1:4" ht="12">
      <c r="A172" s="666"/>
      <c r="B172" s="617"/>
      <c r="C172" s="617"/>
      <c r="D172" s="617"/>
    </row>
    <row r="173" spans="1:4" ht="12">
      <c r="A173" s="666"/>
      <c r="B173" s="617"/>
      <c r="C173" s="617"/>
      <c r="D173" s="617"/>
    </row>
    <row r="174" spans="1:4" ht="12">
      <c r="A174" s="666"/>
      <c r="B174" s="617"/>
      <c r="C174" s="617"/>
      <c r="D174" s="617"/>
    </row>
    <row r="175" spans="1:4" ht="12">
      <c r="A175" s="666"/>
      <c r="B175" s="617"/>
      <c r="C175" s="617"/>
      <c r="D175" s="617"/>
    </row>
    <row r="176" spans="1:4" ht="12">
      <c r="A176" s="666"/>
      <c r="B176" s="617"/>
      <c r="C176" s="617"/>
      <c r="D176" s="617"/>
    </row>
    <row r="177" spans="1:4" ht="12">
      <c r="A177" s="666"/>
      <c r="B177" s="617"/>
      <c r="C177" s="617"/>
      <c r="D177" s="617"/>
    </row>
    <row r="178" spans="1:4" ht="12">
      <c r="A178" s="666"/>
      <c r="B178" s="617"/>
      <c r="C178" s="617"/>
      <c r="D178" s="617"/>
    </row>
    <row r="179" spans="1:4" ht="12">
      <c r="A179" s="666"/>
      <c r="B179" s="617"/>
      <c r="C179" s="617"/>
      <c r="D179" s="617"/>
    </row>
    <row r="180" spans="1:4" ht="12">
      <c r="A180" s="666"/>
      <c r="B180" s="617"/>
      <c r="C180" s="617"/>
      <c r="D180" s="617"/>
    </row>
    <row r="181" spans="1:4" ht="12">
      <c r="A181" s="666"/>
      <c r="B181" s="617"/>
      <c r="C181" s="617"/>
      <c r="D181" s="617"/>
    </row>
    <row r="182" spans="1:4" ht="12">
      <c r="A182" s="666"/>
      <c r="B182" s="617"/>
      <c r="C182" s="617"/>
      <c r="D182" s="617"/>
    </row>
    <row r="183" spans="1:4" ht="12">
      <c r="A183" s="666"/>
      <c r="B183" s="617"/>
      <c r="C183" s="617"/>
      <c r="D183" s="617"/>
    </row>
    <row r="184" spans="1:4" ht="12">
      <c r="A184" s="666"/>
      <c r="B184" s="617"/>
      <c r="C184" s="617"/>
      <c r="D184" s="617"/>
    </row>
    <row r="185" spans="1:4" ht="12">
      <c r="A185" s="666"/>
      <c r="B185" s="617"/>
      <c r="C185" s="617"/>
      <c r="D185" s="617"/>
    </row>
    <row r="186" spans="1:4" ht="12">
      <c r="A186" s="666"/>
      <c r="B186" s="617"/>
      <c r="C186" s="617"/>
      <c r="D186" s="617"/>
    </row>
    <row r="187" spans="1:4" ht="12">
      <c r="A187" s="666"/>
      <c r="B187" s="617"/>
      <c r="C187" s="617"/>
      <c r="D187" s="617"/>
    </row>
    <row r="188" spans="1:4" ht="12">
      <c r="A188" s="666"/>
      <c r="B188" s="617"/>
      <c r="C188" s="617"/>
      <c r="D188" s="617"/>
    </row>
    <row r="189" spans="1:4" ht="12">
      <c r="A189" s="666"/>
      <c r="B189" s="617"/>
      <c r="C189" s="617"/>
      <c r="D189" s="617"/>
    </row>
    <row r="190" spans="1:4" ht="12">
      <c r="A190" s="666"/>
      <c r="B190" s="617"/>
      <c r="C190" s="617"/>
      <c r="D190" s="617"/>
    </row>
    <row r="191" spans="1:4" ht="12">
      <c r="A191" s="666"/>
      <c r="B191" s="617"/>
      <c r="C191" s="617"/>
      <c r="D191" s="617"/>
    </row>
    <row r="192" spans="1:4" ht="12">
      <c r="A192" s="666"/>
      <c r="B192" s="617"/>
      <c r="C192" s="617"/>
      <c r="D192" s="617"/>
    </row>
    <row r="193" spans="1:4" ht="12">
      <c r="A193" s="666"/>
      <c r="B193" s="617"/>
      <c r="C193" s="617"/>
      <c r="D193" s="617"/>
    </row>
    <row r="194" spans="1:4" ht="12">
      <c r="A194" s="666"/>
      <c r="B194" s="617"/>
      <c r="C194" s="617"/>
      <c r="D194" s="617"/>
    </row>
    <row r="195" spans="1:4" ht="12">
      <c r="A195" s="666"/>
      <c r="B195" s="617"/>
      <c r="C195" s="617"/>
      <c r="D195" s="617"/>
    </row>
    <row r="196" spans="1:4" ht="12">
      <c r="A196" s="666"/>
      <c r="B196" s="617"/>
      <c r="C196" s="617"/>
      <c r="D196" s="617"/>
    </row>
    <row r="197" spans="1:4" ht="12">
      <c r="A197" s="666"/>
      <c r="B197" s="617"/>
      <c r="C197" s="617"/>
      <c r="D197" s="617"/>
    </row>
    <row r="198" spans="1:4" ht="12">
      <c r="A198" s="666"/>
      <c r="B198" s="617"/>
      <c r="C198" s="617"/>
      <c r="D198" s="617"/>
    </row>
    <row r="199" spans="1:4" ht="12">
      <c r="A199" s="666"/>
      <c r="B199" s="617"/>
      <c r="C199" s="617"/>
      <c r="D199" s="617"/>
    </row>
    <row r="200" spans="1:4" ht="12">
      <c r="A200" s="666"/>
      <c r="B200" s="617"/>
      <c r="C200" s="617"/>
      <c r="D200" s="617"/>
    </row>
    <row r="201" spans="1:4" ht="12">
      <c r="A201" s="666"/>
      <c r="B201" s="617"/>
      <c r="C201" s="617"/>
      <c r="D201" s="617"/>
    </row>
    <row r="202" spans="1:4" ht="12">
      <c r="A202" s="666"/>
      <c r="B202" s="617"/>
      <c r="C202" s="617"/>
      <c r="D202" s="617"/>
    </row>
    <row r="203" spans="1:4" ht="12">
      <c r="A203" s="666"/>
      <c r="B203" s="617"/>
      <c r="C203" s="617"/>
      <c r="D203" s="617"/>
    </row>
    <row r="204" spans="1:4" ht="12">
      <c r="A204" s="666"/>
      <c r="B204" s="617"/>
      <c r="C204" s="617"/>
      <c r="D204" s="617"/>
    </row>
    <row r="205" spans="1:4" ht="12">
      <c r="A205" s="666"/>
      <c r="B205" s="617"/>
      <c r="C205" s="617"/>
      <c r="D205" s="617"/>
    </row>
    <row r="206" spans="1:4" ht="12">
      <c r="A206" s="666"/>
      <c r="B206" s="617"/>
      <c r="C206" s="617"/>
      <c r="D206" s="617"/>
    </row>
    <row r="207" spans="1:4" ht="12">
      <c r="A207" s="666"/>
      <c r="B207" s="617"/>
      <c r="C207" s="617"/>
      <c r="D207" s="617"/>
    </row>
  </sheetData>
  <mergeCells count="134">
    <mergeCell ref="G85:H85"/>
    <mergeCell ref="E67:E75"/>
    <mergeCell ref="G67:G75"/>
    <mergeCell ref="H67:H75"/>
    <mergeCell ref="E76:E84"/>
    <mergeCell ref="G76:G84"/>
    <mergeCell ref="H76:H84"/>
    <mergeCell ref="E63:E66"/>
    <mergeCell ref="F63:F66"/>
    <mergeCell ref="G63:G66"/>
    <mergeCell ref="H63:H66"/>
    <mergeCell ref="A63:A66"/>
    <mergeCell ref="B63:B66"/>
    <mergeCell ref="C63:C66"/>
    <mergeCell ref="D63:D66"/>
    <mergeCell ref="E59:E62"/>
    <mergeCell ref="F59:F62"/>
    <mergeCell ref="G59:G62"/>
    <mergeCell ref="H59:H62"/>
    <mergeCell ref="A59:A62"/>
    <mergeCell ref="B59:B62"/>
    <mergeCell ref="C59:C62"/>
    <mergeCell ref="D59:D62"/>
    <mergeCell ref="E55:E58"/>
    <mergeCell ref="F55:F58"/>
    <mergeCell ref="G55:G58"/>
    <mergeCell ref="H55:H58"/>
    <mergeCell ref="A55:A58"/>
    <mergeCell ref="B55:B58"/>
    <mergeCell ref="C55:C58"/>
    <mergeCell ref="D55:D58"/>
    <mergeCell ref="E51:E54"/>
    <mergeCell ref="F51:F54"/>
    <mergeCell ref="G51:G54"/>
    <mergeCell ref="H51:H54"/>
    <mergeCell ref="A51:A54"/>
    <mergeCell ref="B51:B54"/>
    <mergeCell ref="C51:C54"/>
    <mergeCell ref="D51:D54"/>
    <mergeCell ref="A46:N46"/>
    <mergeCell ref="A47:A50"/>
    <mergeCell ref="B47:B50"/>
    <mergeCell ref="C47:C50"/>
    <mergeCell ref="D47:D50"/>
    <mergeCell ref="E47:E50"/>
    <mergeCell ref="F47:F50"/>
    <mergeCell ref="G47:G50"/>
    <mergeCell ref="H47:H50"/>
    <mergeCell ref="A41:N41"/>
    <mergeCell ref="A42:A45"/>
    <mergeCell ref="B42:B45"/>
    <mergeCell ref="C42:C45"/>
    <mergeCell ref="D42:D45"/>
    <mergeCell ref="E42:E45"/>
    <mergeCell ref="F42:F45"/>
    <mergeCell ref="G42:G45"/>
    <mergeCell ref="H42:H45"/>
    <mergeCell ref="E37:E40"/>
    <mergeCell ref="F37:F40"/>
    <mergeCell ref="G37:G40"/>
    <mergeCell ref="H37:H40"/>
    <mergeCell ref="A37:A40"/>
    <mergeCell ref="B37:B40"/>
    <mergeCell ref="C37:C40"/>
    <mergeCell ref="D37:D40"/>
    <mergeCell ref="E33:E36"/>
    <mergeCell ref="F33:F36"/>
    <mergeCell ref="G33:G36"/>
    <mergeCell ref="H33:H36"/>
    <mergeCell ref="A33:A36"/>
    <mergeCell ref="B33:B36"/>
    <mergeCell ref="C33:C36"/>
    <mergeCell ref="D33:D36"/>
    <mergeCell ref="A28:N28"/>
    <mergeCell ref="A29:A32"/>
    <mergeCell ref="B29:B32"/>
    <mergeCell ref="C29:C32"/>
    <mergeCell ref="D29:D32"/>
    <mergeCell ref="E29:E32"/>
    <mergeCell ref="F29:F32"/>
    <mergeCell ref="G29:G32"/>
    <mergeCell ref="H29:H32"/>
    <mergeCell ref="E24:E27"/>
    <mergeCell ref="F24:F27"/>
    <mergeCell ref="G24:G27"/>
    <mergeCell ref="H24:H27"/>
    <mergeCell ref="A24:A27"/>
    <mergeCell ref="B24:B27"/>
    <mergeCell ref="C24:C27"/>
    <mergeCell ref="D24:D27"/>
    <mergeCell ref="E20:E23"/>
    <mergeCell ref="F20:F23"/>
    <mergeCell ref="G20:G23"/>
    <mergeCell ref="H20:H23"/>
    <mergeCell ref="A20:A23"/>
    <mergeCell ref="B20:B23"/>
    <mergeCell ref="C20:C23"/>
    <mergeCell ref="D20:D23"/>
    <mergeCell ref="E16:E19"/>
    <mergeCell ref="F16:F19"/>
    <mergeCell ref="G16:G19"/>
    <mergeCell ref="H16:H19"/>
    <mergeCell ref="A16:A19"/>
    <mergeCell ref="B16:B19"/>
    <mergeCell ref="C16:C19"/>
    <mergeCell ref="D16:D19"/>
    <mergeCell ref="E12:E15"/>
    <mergeCell ref="F12:F15"/>
    <mergeCell ref="G12:G15"/>
    <mergeCell ref="H12:H15"/>
    <mergeCell ref="A12:A15"/>
    <mergeCell ref="B12:B15"/>
    <mergeCell ref="C12:C15"/>
    <mergeCell ref="D12:D15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:N1"/>
    <mergeCell ref="A2:N4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5902777777777778" right="0.5902777777777778" top="0.5902777777777778" bottom="0.7569444444444444" header="0.5118055555555556" footer="0.5902777777777778"/>
  <pageSetup horizontalDpi="300" verticalDpi="300" orientation="landscape" paperSize="9" scale="69" r:id="rId1"/>
  <headerFooter alignWithMargins="0">
    <oddFooter>&amp;C&amp;"Times New Roman,Normalny"&amp;12Strona &amp;P z &amp;N</oddFooter>
  </headerFooter>
  <rowBreaks count="1" manualBreakCount="1">
    <brk id="4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IV156"/>
  <sheetViews>
    <sheetView showGridLines="0" defaultGridColor="0" view="pageBreakPreview" zoomScale="90" zoomScaleSheetLayoutView="90" colorId="15" workbookViewId="0" topLeftCell="A1">
      <selection activeCell="A1" sqref="A1:Q1"/>
    </sheetView>
  </sheetViews>
  <sheetFormatPr defaultColWidth="9.00390625" defaultRowHeight="12.75"/>
  <cols>
    <col min="1" max="1" width="3.625" style="684" customWidth="1"/>
    <col min="2" max="2" width="4.25390625" style="614" customWidth="1"/>
    <col min="3" max="3" width="6.00390625" style="614" customWidth="1"/>
    <col min="4" max="4" width="29.00390625" style="615" customWidth="1"/>
    <col min="5" max="5" width="26.875" style="685" customWidth="1"/>
    <col min="6" max="6" width="5.875" style="617" customWidth="1"/>
    <col min="7" max="7" width="5.00390625" style="617" customWidth="1"/>
    <col min="8" max="8" width="10.00390625" style="686" customWidth="1"/>
    <col min="9" max="9" width="9.75390625" style="686" customWidth="1"/>
    <col min="10" max="10" width="9.625" style="687" customWidth="1"/>
    <col min="11" max="11" width="9.875" style="683" customWidth="1"/>
    <col min="12" max="13" width="0" style="683" hidden="1" customWidth="1"/>
    <col min="14" max="14" width="10.375" style="683" customWidth="1"/>
    <col min="15" max="15" width="8.875" style="683" customWidth="1"/>
    <col min="16" max="16" width="8.375" style="683" customWidth="1"/>
    <col min="17" max="17" width="9.875" style="683" customWidth="1"/>
    <col min="18" max="18" width="15.75390625" style="618" customWidth="1"/>
    <col min="19" max="255" width="9.125" style="617" customWidth="1"/>
  </cols>
  <sheetData>
    <row r="1" spans="1:256" s="621" customFormat="1" ht="21.75" customHeight="1">
      <c r="A1" s="746" t="s">
        <v>181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618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IV1"/>
    </row>
    <row r="2" spans="1:18" ht="70.5" customHeight="1">
      <c r="A2" s="856" t="s">
        <v>182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/>
    </row>
    <row r="3" spans="1:17" ht="16.5">
      <c r="A3" s="675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</row>
    <row r="4" spans="1:17" ht="30" customHeight="1">
      <c r="A4" s="838" t="s">
        <v>27</v>
      </c>
      <c r="B4" s="838" t="s">
        <v>275</v>
      </c>
      <c r="C4" s="838" t="s">
        <v>122</v>
      </c>
      <c r="D4" s="839" t="s">
        <v>183</v>
      </c>
      <c r="E4" s="857" t="s">
        <v>184</v>
      </c>
      <c r="F4" s="839" t="s">
        <v>185</v>
      </c>
      <c r="G4" s="839"/>
      <c r="H4" s="840" t="s">
        <v>186</v>
      </c>
      <c r="I4" s="840" t="s">
        <v>187</v>
      </c>
      <c r="J4" s="839" t="s">
        <v>188</v>
      </c>
      <c r="K4" s="839"/>
      <c r="L4" s="840" t="s">
        <v>189</v>
      </c>
      <c r="M4" s="840" t="s">
        <v>190</v>
      </c>
      <c r="N4" s="840"/>
      <c r="O4" s="840"/>
      <c r="P4" s="840"/>
      <c r="Q4" s="840"/>
    </row>
    <row r="5" spans="1:17" ht="30" customHeight="1">
      <c r="A5" s="838"/>
      <c r="B5" s="838"/>
      <c r="C5" s="838"/>
      <c r="D5" s="839"/>
      <c r="E5" s="857"/>
      <c r="F5" s="839"/>
      <c r="G5" s="839"/>
      <c r="H5" s="840"/>
      <c r="I5" s="840"/>
      <c r="J5" s="839"/>
      <c r="K5" s="839"/>
      <c r="L5" s="840"/>
      <c r="M5" s="623">
        <v>2007</v>
      </c>
      <c r="N5" s="623">
        <v>2010</v>
      </c>
      <c r="O5" s="623">
        <v>2011</v>
      </c>
      <c r="P5" s="623">
        <v>2012</v>
      </c>
      <c r="Q5" s="623" t="s">
        <v>131</v>
      </c>
    </row>
    <row r="6" spans="1:17" ht="12.75" customHeight="1">
      <c r="A6" s="858" t="s">
        <v>30</v>
      </c>
      <c r="B6" s="842">
        <v>400</v>
      </c>
      <c r="C6" s="842">
        <v>40002</v>
      </c>
      <c r="D6" s="859" t="s">
        <v>191</v>
      </c>
      <c r="E6" s="843" t="s">
        <v>192</v>
      </c>
      <c r="F6" s="844">
        <v>2009</v>
      </c>
      <c r="G6" s="844">
        <v>2011</v>
      </c>
      <c r="H6" s="860">
        <v>5635000</v>
      </c>
      <c r="I6" s="860">
        <f>(N7+O7)*2</f>
        <v>2496000</v>
      </c>
      <c r="J6" s="633" t="s">
        <v>139</v>
      </c>
      <c r="K6" s="638">
        <f>SUM(N6:Q6)</f>
        <v>5131000</v>
      </c>
      <c r="L6" s="628"/>
      <c r="M6" s="628"/>
      <c r="N6" s="628">
        <f>SUM(N7:N9)</f>
        <v>2791000</v>
      </c>
      <c r="O6" s="628">
        <f>SUM(O7:O9)</f>
        <v>2340000</v>
      </c>
      <c r="P6" s="628">
        <f>SUM(P7:P9)</f>
        <v>0</v>
      </c>
      <c r="Q6" s="628"/>
    </row>
    <row r="7" spans="1:17" ht="12.75">
      <c r="A7" s="858"/>
      <c r="B7" s="842"/>
      <c r="C7" s="842"/>
      <c r="D7" s="859"/>
      <c r="E7" s="843"/>
      <c r="F7" s="844"/>
      <c r="G7" s="844"/>
      <c r="H7" s="860"/>
      <c r="I7" s="860"/>
      <c r="J7" s="629" t="s">
        <v>193</v>
      </c>
      <c r="K7" s="638">
        <f>SUM(N7:Q7)</f>
        <v>1248000</v>
      </c>
      <c r="L7" s="628"/>
      <c r="M7" s="628"/>
      <c r="N7" s="628">
        <v>748000</v>
      </c>
      <c r="O7" s="628">
        <v>500000</v>
      </c>
      <c r="P7" s="628"/>
      <c r="Q7" s="628"/>
    </row>
    <row r="8" spans="1:17" ht="15.75" customHeight="1">
      <c r="A8" s="858"/>
      <c r="B8" s="842"/>
      <c r="C8" s="842"/>
      <c r="D8" s="859"/>
      <c r="E8" s="843"/>
      <c r="F8" s="844"/>
      <c r="G8" s="844"/>
      <c r="H8" s="860"/>
      <c r="I8" s="860"/>
      <c r="J8" s="633" t="s">
        <v>141</v>
      </c>
      <c r="K8" s="638">
        <f>SUM(N8:Q8)</f>
        <v>0</v>
      </c>
      <c r="L8" s="638"/>
      <c r="M8" s="628"/>
      <c r="N8" s="638"/>
      <c r="O8" s="638"/>
      <c r="P8" s="638"/>
      <c r="Q8" s="638"/>
    </row>
    <row r="9" spans="1:17" ht="20.25" customHeight="1">
      <c r="A9" s="858"/>
      <c r="B9" s="842"/>
      <c r="C9" s="842"/>
      <c r="D9" s="859"/>
      <c r="E9" s="843"/>
      <c r="F9" s="844"/>
      <c r="G9" s="844"/>
      <c r="H9" s="860"/>
      <c r="I9" s="860"/>
      <c r="J9" s="633" t="s">
        <v>142</v>
      </c>
      <c r="K9" s="628">
        <f>SUM(N9:Q9)</f>
        <v>3883000</v>
      </c>
      <c r="L9" s="628"/>
      <c r="M9" s="628"/>
      <c r="N9" s="628">
        <v>2043000</v>
      </c>
      <c r="O9" s="628">
        <v>1840000</v>
      </c>
      <c r="P9" s="628"/>
      <c r="Q9" s="628"/>
    </row>
    <row r="10" spans="1:256" s="635" customFormat="1" ht="12.75" customHeight="1">
      <c r="A10" s="858" t="s">
        <v>32</v>
      </c>
      <c r="B10" s="845">
        <v>400</v>
      </c>
      <c r="C10" s="845">
        <v>40002</v>
      </c>
      <c r="D10" s="844" t="s">
        <v>194</v>
      </c>
      <c r="E10" s="843" t="s">
        <v>143</v>
      </c>
      <c r="F10" s="846">
        <v>2009</v>
      </c>
      <c r="G10" s="846">
        <v>2011</v>
      </c>
      <c r="H10" s="860">
        <v>2455000</v>
      </c>
      <c r="I10" s="860">
        <f>K10/2</f>
        <v>1225000</v>
      </c>
      <c r="J10" s="633" t="s">
        <v>139</v>
      </c>
      <c r="K10" s="628">
        <f>SUM(N10:P10)</f>
        <v>2450000</v>
      </c>
      <c r="L10" s="628"/>
      <c r="M10" s="628">
        <v>100000</v>
      </c>
      <c r="N10" s="628">
        <f>SUM(N11:N13)</f>
        <v>500000</v>
      </c>
      <c r="O10" s="628">
        <f>O12+O11</f>
        <v>1950000</v>
      </c>
      <c r="P10" s="628"/>
      <c r="Q10" s="628"/>
      <c r="R10" s="618"/>
      <c r="IV10"/>
    </row>
    <row r="11" spans="1:256" s="635" customFormat="1" ht="12.75">
      <c r="A11" s="858"/>
      <c r="B11" s="845"/>
      <c r="C11" s="845"/>
      <c r="D11" s="844"/>
      <c r="E11" s="843"/>
      <c r="F11" s="846"/>
      <c r="G11" s="846"/>
      <c r="H11" s="860"/>
      <c r="I11" s="860"/>
      <c r="J11" s="629" t="s">
        <v>193</v>
      </c>
      <c r="K11" s="628">
        <f>SUM(N11:P11)</f>
        <v>1225000</v>
      </c>
      <c r="L11" s="628"/>
      <c r="M11" s="628"/>
      <c r="N11" s="628">
        <v>250000</v>
      </c>
      <c r="O11" s="630">
        <f>1950000/2</f>
        <v>975000</v>
      </c>
      <c r="P11" s="628"/>
      <c r="Q11" s="628"/>
      <c r="R11" s="618"/>
      <c r="IV11"/>
    </row>
    <row r="12" spans="1:256" s="635" customFormat="1" ht="12.75">
      <c r="A12" s="858"/>
      <c r="B12" s="845"/>
      <c r="C12" s="845"/>
      <c r="D12" s="844"/>
      <c r="E12" s="843"/>
      <c r="F12" s="846"/>
      <c r="G12" s="846"/>
      <c r="H12" s="860"/>
      <c r="I12" s="860"/>
      <c r="J12" s="633" t="s">
        <v>141</v>
      </c>
      <c r="K12" s="628">
        <f>SUM(N12:P12)</f>
        <v>1225000</v>
      </c>
      <c r="L12" s="628"/>
      <c r="M12" s="628" t="e">
        <f>#REF!</f>
        <v>#REF!</v>
      </c>
      <c r="N12" s="628">
        <v>250000</v>
      </c>
      <c r="O12" s="630">
        <f>1950000/2</f>
        <v>975000</v>
      </c>
      <c r="P12" s="628"/>
      <c r="Q12" s="628"/>
      <c r="R12" s="618"/>
      <c r="IV12"/>
    </row>
    <row r="13" spans="1:256" s="635" customFormat="1" ht="12.75">
      <c r="A13" s="858"/>
      <c r="B13" s="845"/>
      <c r="C13" s="845"/>
      <c r="D13" s="844"/>
      <c r="E13" s="843"/>
      <c r="F13" s="846"/>
      <c r="G13" s="846"/>
      <c r="H13" s="860"/>
      <c r="I13" s="860"/>
      <c r="J13" s="633" t="s">
        <v>142</v>
      </c>
      <c r="K13" s="628"/>
      <c r="L13" s="628"/>
      <c r="M13" s="628"/>
      <c r="N13" s="628"/>
      <c r="O13" s="628"/>
      <c r="P13" s="628"/>
      <c r="Q13" s="628"/>
      <c r="R13" s="618"/>
      <c r="IV13"/>
    </row>
    <row r="14" spans="1:17" ht="12.75" customHeight="1">
      <c r="A14" s="841" t="s">
        <v>195</v>
      </c>
      <c r="B14" s="845">
        <v>600</v>
      </c>
      <c r="C14" s="845">
        <v>60016</v>
      </c>
      <c r="D14" s="844" t="s">
        <v>196</v>
      </c>
      <c r="E14" s="843" t="s">
        <v>154</v>
      </c>
      <c r="F14" s="846">
        <v>2009</v>
      </c>
      <c r="G14" s="846">
        <v>2011</v>
      </c>
      <c r="H14" s="860">
        <f>I14+70000+30000</f>
        <v>1300000</v>
      </c>
      <c r="I14" s="860">
        <v>1200000</v>
      </c>
      <c r="J14" s="633" t="s">
        <v>139</v>
      </c>
      <c r="K14" s="628">
        <f>SUM(N14:P14)</f>
        <v>1230000</v>
      </c>
      <c r="L14" s="628"/>
      <c r="M14" s="628"/>
      <c r="N14" s="628">
        <f>SUM(N15:N17)</f>
        <v>30000</v>
      </c>
      <c r="O14" s="628">
        <f>SUM(O15:O17)</f>
        <v>1200000</v>
      </c>
      <c r="P14" s="628"/>
      <c r="Q14" s="628"/>
    </row>
    <row r="15" spans="1:17" ht="12.75">
      <c r="A15" s="841"/>
      <c r="B15" s="845"/>
      <c r="C15" s="845"/>
      <c r="D15" s="844"/>
      <c r="E15" s="843"/>
      <c r="F15" s="846"/>
      <c r="G15" s="846"/>
      <c r="H15" s="860"/>
      <c r="I15" s="860"/>
      <c r="J15" s="629" t="s">
        <v>193</v>
      </c>
      <c r="K15" s="628">
        <f>SUM(N15:P15)</f>
        <v>600000</v>
      </c>
      <c r="L15" s="628"/>
      <c r="M15" s="628"/>
      <c r="N15" s="628"/>
      <c r="O15" s="628">
        <v>600000</v>
      </c>
      <c r="P15" s="628"/>
      <c r="Q15" s="628"/>
    </row>
    <row r="16" spans="1:17" ht="12.75">
      <c r="A16" s="841"/>
      <c r="B16" s="845"/>
      <c r="C16" s="845"/>
      <c r="D16" s="844"/>
      <c r="E16" s="843"/>
      <c r="F16" s="846"/>
      <c r="G16" s="846"/>
      <c r="H16" s="860"/>
      <c r="I16" s="860"/>
      <c r="J16" s="633" t="s">
        <v>141</v>
      </c>
      <c r="K16" s="628">
        <f>SUM(N16:P16)</f>
        <v>630000</v>
      </c>
      <c r="L16" s="628"/>
      <c r="M16" s="628"/>
      <c r="N16" s="628">
        <v>30000</v>
      </c>
      <c r="O16" s="628">
        <v>600000</v>
      </c>
      <c r="P16" s="628"/>
      <c r="Q16" s="628"/>
    </row>
    <row r="17" spans="1:17" ht="12.75">
      <c r="A17" s="841"/>
      <c r="B17" s="845"/>
      <c r="C17" s="845"/>
      <c r="D17" s="844"/>
      <c r="E17" s="843"/>
      <c r="F17" s="846"/>
      <c r="G17" s="846"/>
      <c r="H17" s="860"/>
      <c r="I17" s="860"/>
      <c r="J17" s="633" t="s">
        <v>142</v>
      </c>
      <c r="K17" s="628"/>
      <c r="L17" s="628"/>
      <c r="M17" s="628"/>
      <c r="N17" s="628"/>
      <c r="O17" s="628"/>
      <c r="P17" s="628"/>
      <c r="Q17" s="628"/>
    </row>
    <row r="18" spans="1:17" ht="12.75" customHeight="1">
      <c r="A18" s="841" t="s">
        <v>148</v>
      </c>
      <c r="B18" s="845">
        <v>900</v>
      </c>
      <c r="C18" s="845">
        <v>90001</v>
      </c>
      <c r="D18" s="844" t="s">
        <v>197</v>
      </c>
      <c r="E18" s="843" t="s">
        <v>161</v>
      </c>
      <c r="F18" s="846">
        <v>2009</v>
      </c>
      <c r="G18" s="846">
        <v>2013</v>
      </c>
      <c r="H18" s="860">
        <f>56606000</f>
        <v>56606000</v>
      </c>
      <c r="I18" s="860">
        <v>56263000</v>
      </c>
      <c r="J18" s="633" t="s">
        <v>139</v>
      </c>
      <c r="K18" s="638">
        <f>SUM(N18:Q18)</f>
        <v>55051000</v>
      </c>
      <c r="L18" s="628"/>
      <c r="M18" s="628"/>
      <c r="N18" s="628">
        <f>SUM(N19:N21)</f>
        <v>5909000</v>
      </c>
      <c r="O18" s="628">
        <f>SUM(O19:O21)</f>
        <v>36990000</v>
      </c>
      <c r="P18" s="628">
        <f>SUM(P19:P21)</f>
        <v>6509000</v>
      </c>
      <c r="Q18" s="628">
        <f>SUM(Q19:Q21)</f>
        <v>5643000</v>
      </c>
    </row>
    <row r="19" spans="1:17" ht="12.75">
      <c r="A19" s="841"/>
      <c r="B19" s="845"/>
      <c r="C19" s="845"/>
      <c r="D19" s="844"/>
      <c r="E19" s="843"/>
      <c r="F19" s="846"/>
      <c r="G19" s="846"/>
      <c r="H19" s="860"/>
      <c r="I19" s="860"/>
      <c r="J19" s="629" t="s">
        <v>193</v>
      </c>
      <c r="K19" s="628">
        <f>SUM(N19:Q19)</f>
        <v>29257000</v>
      </c>
      <c r="L19" s="628"/>
      <c r="M19" s="628"/>
      <c r="N19" s="638">
        <v>3023000</v>
      </c>
      <c r="O19" s="638">
        <v>20217000</v>
      </c>
      <c r="P19" s="638">
        <v>3452000</v>
      </c>
      <c r="Q19" s="638">
        <v>2565000</v>
      </c>
    </row>
    <row r="20" spans="1:17" ht="12.75">
      <c r="A20" s="841"/>
      <c r="B20" s="845"/>
      <c r="C20" s="845"/>
      <c r="D20" s="844"/>
      <c r="E20" s="843"/>
      <c r="F20" s="846"/>
      <c r="G20" s="846"/>
      <c r="H20" s="860"/>
      <c r="I20" s="860"/>
      <c r="J20" s="633" t="s">
        <v>141</v>
      </c>
      <c r="K20" s="628">
        <f>SUM(N20:Q20)</f>
        <v>0</v>
      </c>
      <c r="L20" s="638"/>
      <c r="M20" s="638"/>
      <c r="N20" s="638"/>
      <c r="O20" s="638"/>
      <c r="P20" s="638"/>
      <c r="Q20" s="638"/>
    </row>
    <row r="21" spans="1:17" ht="12.75">
      <c r="A21" s="841"/>
      <c r="B21" s="845"/>
      <c r="C21" s="845"/>
      <c r="D21" s="844"/>
      <c r="E21" s="843"/>
      <c r="F21" s="846"/>
      <c r="G21" s="846"/>
      <c r="H21" s="860"/>
      <c r="I21" s="860"/>
      <c r="J21" s="633" t="s">
        <v>142</v>
      </c>
      <c r="K21" s="628">
        <f>SUM(N21:Q21)</f>
        <v>25794000</v>
      </c>
      <c r="L21" s="628"/>
      <c r="M21" s="628"/>
      <c r="N21" s="628">
        <v>2886000</v>
      </c>
      <c r="O21" s="638">
        <v>16773000</v>
      </c>
      <c r="P21" s="638">
        <v>3057000</v>
      </c>
      <c r="Q21" s="638">
        <v>3078000</v>
      </c>
    </row>
    <row r="22" spans="1:17" ht="12.75" customHeight="1">
      <c r="A22" s="861" t="s">
        <v>150</v>
      </c>
      <c r="B22" s="862">
        <v>921</v>
      </c>
      <c r="C22" s="862">
        <v>92109</v>
      </c>
      <c r="D22" s="863" t="s">
        <v>194</v>
      </c>
      <c r="E22" s="864" t="s">
        <v>198</v>
      </c>
      <c r="F22" s="865">
        <v>2010</v>
      </c>
      <c r="G22" s="865">
        <v>2011</v>
      </c>
      <c r="H22" s="866">
        <f>K22</f>
        <v>730000</v>
      </c>
      <c r="I22" s="866">
        <v>666000</v>
      </c>
      <c r="J22" s="690" t="s">
        <v>139</v>
      </c>
      <c r="K22" s="628">
        <f aca="true" t="shared" si="0" ref="K22:P22">SUM(K23:K25)</f>
        <v>730000</v>
      </c>
      <c r="L22" s="628">
        <f t="shared" si="0"/>
        <v>0</v>
      </c>
      <c r="M22" s="628">
        <f t="shared" si="0"/>
        <v>0</v>
      </c>
      <c r="N22" s="628">
        <f t="shared" si="0"/>
        <v>30000</v>
      </c>
      <c r="O22" s="628">
        <f t="shared" si="0"/>
        <v>700000</v>
      </c>
      <c r="P22" s="628">
        <f t="shared" si="0"/>
        <v>0</v>
      </c>
      <c r="Q22" s="691"/>
    </row>
    <row r="23" spans="1:17" ht="12.75">
      <c r="A23" s="861"/>
      <c r="B23" s="862"/>
      <c r="C23" s="862"/>
      <c r="D23" s="863"/>
      <c r="E23" s="864"/>
      <c r="F23" s="865"/>
      <c r="G23" s="865"/>
      <c r="H23" s="866"/>
      <c r="I23" s="866"/>
      <c r="J23" s="692" t="s">
        <v>193</v>
      </c>
      <c r="K23" s="691">
        <f>SUM(N23:Q23)</f>
        <v>500000</v>
      </c>
      <c r="L23" s="691"/>
      <c r="M23" s="691"/>
      <c r="N23" s="691"/>
      <c r="O23" s="691">
        <v>500000</v>
      </c>
      <c r="P23" s="691"/>
      <c r="Q23" s="691"/>
    </row>
    <row r="24" spans="1:17" ht="12.75">
      <c r="A24" s="861"/>
      <c r="B24" s="862"/>
      <c r="C24" s="862"/>
      <c r="D24" s="863"/>
      <c r="E24" s="864"/>
      <c r="F24" s="865"/>
      <c r="G24" s="865"/>
      <c r="H24" s="866"/>
      <c r="I24" s="866"/>
      <c r="J24" s="690" t="s">
        <v>141</v>
      </c>
      <c r="K24" s="691">
        <f>SUM(N24:Q24)</f>
        <v>230000</v>
      </c>
      <c r="L24" s="691"/>
      <c r="M24" s="691"/>
      <c r="N24" s="691">
        <v>30000</v>
      </c>
      <c r="O24" s="693">
        <v>200000</v>
      </c>
      <c r="P24" s="691"/>
      <c r="Q24" s="691"/>
    </row>
    <row r="25" spans="1:17" ht="12.75">
      <c r="A25" s="861"/>
      <c r="B25" s="862"/>
      <c r="C25" s="862"/>
      <c r="D25" s="863"/>
      <c r="E25" s="864"/>
      <c r="F25" s="865"/>
      <c r="G25" s="865"/>
      <c r="H25" s="866"/>
      <c r="I25" s="866"/>
      <c r="J25" s="690" t="s">
        <v>142</v>
      </c>
      <c r="K25" s="691"/>
      <c r="L25" s="691"/>
      <c r="M25" s="691"/>
      <c r="N25" s="691"/>
      <c r="O25" s="691"/>
      <c r="P25" s="691"/>
      <c r="Q25" s="691"/>
    </row>
    <row r="26" spans="1:17" ht="12.75" customHeight="1">
      <c r="A26" s="841" t="s">
        <v>153</v>
      </c>
      <c r="B26" s="845">
        <v>921</v>
      </c>
      <c r="C26" s="845">
        <v>92113</v>
      </c>
      <c r="D26" s="844" t="s">
        <v>199</v>
      </c>
      <c r="E26" s="843" t="s">
        <v>200</v>
      </c>
      <c r="F26" s="846">
        <v>2009</v>
      </c>
      <c r="G26" s="846">
        <v>2010</v>
      </c>
      <c r="H26" s="860">
        <v>10643627</v>
      </c>
      <c r="I26" s="860">
        <v>9455176</v>
      </c>
      <c r="J26" s="633" t="s">
        <v>139</v>
      </c>
      <c r="K26" s="689">
        <f>K28+K27</f>
        <v>9455176</v>
      </c>
      <c r="L26" s="628"/>
      <c r="M26" s="628">
        <v>25000</v>
      </c>
      <c r="N26" s="628">
        <f>N27+N28</f>
        <v>50000</v>
      </c>
      <c r="O26" s="628">
        <f>O27+O29</f>
        <v>10300219</v>
      </c>
      <c r="P26" s="628"/>
      <c r="Q26" s="628"/>
    </row>
    <row r="27" spans="1:17" ht="27" customHeight="1">
      <c r="A27" s="841"/>
      <c r="B27" s="845"/>
      <c r="C27" s="845"/>
      <c r="D27" s="844"/>
      <c r="E27" s="843"/>
      <c r="F27" s="846"/>
      <c r="G27" s="846"/>
      <c r="H27" s="860"/>
      <c r="I27" s="860"/>
      <c r="J27" s="629" t="s">
        <v>193</v>
      </c>
      <c r="K27" s="628">
        <f>O27</f>
        <v>8036900</v>
      </c>
      <c r="L27" s="628"/>
      <c r="M27" s="628"/>
      <c r="N27" s="628"/>
      <c r="O27" s="628">
        <v>8036900</v>
      </c>
      <c r="P27" s="628"/>
      <c r="Q27" s="628"/>
    </row>
    <row r="28" spans="1:17" ht="12.75">
      <c r="A28" s="841"/>
      <c r="B28" s="845"/>
      <c r="C28" s="845"/>
      <c r="D28" s="844"/>
      <c r="E28" s="843"/>
      <c r="F28" s="846"/>
      <c r="G28" s="846"/>
      <c r="H28" s="860"/>
      <c r="I28" s="860"/>
      <c r="J28" s="633" t="s">
        <v>141</v>
      </c>
      <c r="K28" s="628">
        <v>1418276</v>
      </c>
      <c r="L28" s="628"/>
      <c r="M28" s="628" t="e">
        <f>#REF!</f>
        <v>#REF!</v>
      </c>
      <c r="N28" s="628">
        <v>50000</v>
      </c>
      <c r="O28"/>
      <c r="P28" s="628"/>
      <c r="Q28" s="628"/>
    </row>
    <row r="29" spans="1:17" ht="21.75" customHeight="1">
      <c r="A29" s="841"/>
      <c r="B29" s="845"/>
      <c r="C29" s="845"/>
      <c r="D29" s="844"/>
      <c r="E29" s="843"/>
      <c r="F29" s="846"/>
      <c r="G29" s="846"/>
      <c r="H29" s="860"/>
      <c r="I29" s="860"/>
      <c r="J29" s="633" t="s">
        <v>142</v>
      </c>
      <c r="K29" s="628">
        <f>SUM(N29:Q29)</f>
        <v>2263319</v>
      </c>
      <c r="L29" s="628"/>
      <c r="M29" s="628"/>
      <c r="N29" s="628"/>
      <c r="O29" s="628">
        <v>2263319</v>
      </c>
      <c r="P29" s="628"/>
      <c r="Q29" s="628"/>
    </row>
    <row r="30" spans="1:256" s="695" customFormat="1" ht="12.75" customHeight="1">
      <c r="A30" s="841" t="s">
        <v>155</v>
      </c>
      <c r="B30" s="845">
        <v>926</v>
      </c>
      <c r="C30" s="845">
        <v>92601</v>
      </c>
      <c r="D30" s="844" t="s">
        <v>201</v>
      </c>
      <c r="E30" s="843" t="s">
        <v>173</v>
      </c>
      <c r="F30" s="846">
        <v>2009</v>
      </c>
      <c r="G30" s="846">
        <v>2012</v>
      </c>
      <c r="H30" s="860">
        <v>8725000</v>
      </c>
      <c r="I30" s="860">
        <v>4000000</v>
      </c>
      <c r="J30" s="633" t="s">
        <v>139</v>
      </c>
      <c r="K30" s="638">
        <f>SUM(N30:Q30)</f>
        <v>8710000</v>
      </c>
      <c r="L30" s="628"/>
      <c r="M30" s="628"/>
      <c r="N30" s="628">
        <f>N31+N32</f>
        <v>500000</v>
      </c>
      <c r="O30" s="628">
        <f>O31+O32</f>
        <v>6310000</v>
      </c>
      <c r="P30" s="628">
        <f>P31+P32</f>
        <v>1900000</v>
      </c>
      <c r="Q30" s="628"/>
      <c r="R30" s="694"/>
      <c r="IV30" s="696"/>
    </row>
    <row r="31" spans="1:256" s="695" customFormat="1" ht="34.5" customHeight="1">
      <c r="A31" s="841"/>
      <c r="B31" s="845"/>
      <c r="C31" s="845"/>
      <c r="D31" s="844"/>
      <c r="E31" s="843"/>
      <c r="F31" s="846"/>
      <c r="G31" s="846"/>
      <c r="H31" s="860"/>
      <c r="I31" s="860"/>
      <c r="J31" s="633" t="s">
        <v>193</v>
      </c>
      <c r="K31" s="638">
        <f>SUM(N31:Q31)</f>
        <v>2000000</v>
      </c>
      <c r="L31" s="628"/>
      <c r="M31" s="628"/>
      <c r="N31" s="628"/>
      <c r="O31" s="628">
        <v>2000000</v>
      </c>
      <c r="P31" s="628"/>
      <c r="Q31" s="628"/>
      <c r="R31" s="694"/>
      <c r="IV31" s="696"/>
    </row>
    <row r="32" spans="1:256" s="695" customFormat="1" ht="33" customHeight="1">
      <c r="A32" s="841"/>
      <c r="B32" s="845"/>
      <c r="C32" s="845"/>
      <c r="D32" s="844"/>
      <c r="E32" s="843"/>
      <c r="F32" s="846"/>
      <c r="G32" s="846"/>
      <c r="H32" s="860"/>
      <c r="I32" s="860"/>
      <c r="J32" s="633" t="s">
        <v>141</v>
      </c>
      <c r="K32" s="628">
        <f>SUM(N32:Q32)</f>
        <v>6710000</v>
      </c>
      <c r="L32" s="638"/>
      <c r="M32" s="638"/>
      <c r="N32" s="634">
        <v>500000</v>
      </c>
      <c r="O32" s="630">
        <f>4310000</f>
        <v>4310000</v>
      </c>
      <c r="P32" s="638">
        <v>1900000</v>
      </c>
      <c r="Q32" s="638"/>
      <c r="R32" s="694"/>
      <c r="IV32" s="696"/>
    </row>
    <row r="33" spans="1:256" s="695" customFormat="1" ht="29.25" customHeight="1">
      <c r="A33" s="841"/>
      <c r="B33" s="845"/>
      <c r="C33" s="845"/>
      <c r="D33" s="844"/>
      <c r="E33" s="843"/>
      <c r="F33" s="846"/>
      <c r="G33" s="846"/>
      <c r="H33" s="860"/>
      <c r="I33" s="860"/>
      <c r="J33" s="633" t="s">
        <v>142</v>
      </c>
      <c r="K33" s="628"/>
      <c r="L33" s="628"/>
      <c r="M33" s="628"/>
      <c r="N33" s="628"/>
      <c r="O33" s="628"/>
      <c r="P33" s="628"/>
      <c r="Q33" s="628"/>
      <c r="R33" s="694"/>
      <c r="IV33" s="696"/>
    </row>
    <row r="34" spans="4:256" s="617" customFormat="1" ht="12.75" customHeight="1">
      <c r="D34" s="667"/>
      <c r="E34" s="667"/>
      <c r="F34" s="855"/>
      <c r="G34" s="855"/>
      <c r="H34" s="697"/>
      <c r="I34" s="697"/>
      <c r="J34" s="698"/>
      <c r="K34" s="699"/>
      <c r="L34" s="699"/>
      <c r="M34" s="699"/>
      <c r="N34" s="699"/>
      <c r="O34" s="699"/>
      <c r="P34" s="699"/>
      <c r="Q34" s="699"/>
      <c r="R34" s="618"/>
      <c r="IV34"/>
    </row>
    <row r="35" spans="4:256" s="617" customFormat="1" ht="12.75">
      <c r="D35" s="671"/>
      <c r="E35" s="671"/>
      <c r="F35" s="671"/>
      <c r="G35" s="671"/>
      <c r="H35" s="700"/>
      <c r="I35" s="700"/>
      <c r="J35" s="701"/>
      <c r="K35" s="702"/>
      <c r="L35" s="702"/>
      <c r="M35" s="702"/>
      <c r="N35" s="702"/>
      <c r="O35" s="702"/>
      <c r="P35" s="702"/>
      <c r="Q35" s="702"/>
      <c r="R35" s="618"/>
      <c r="IV35"/>
    </row>
    <row r="36" spans="4:256" s="617" customFormat="1" ht="12.75">
      <c r="D36" s="671"/>
      <c r="E36" s="671"/>
      <c r="F36" s="671"/>
      <c r="G36" s="671"/>
      <c r="H36" s="700"/>
      <c r="I36" s="700"/>
      <c r="J36" s="701"/>
      <c r="K36" s="702"/>
      <c r="L36" s="702"/>
      <c r="M36" s="702"/>
      <c r="N36" s="702"/>
      <c r="O36" s="702"/>
      <c r="P36" s="702"/>
      <c r="Q36" s="702"/>
      <c r="R36" s="618"/>
      <c r="IV36"/>
    </row>
    <row r="37" spans="4:256" s="617" customFormat="1" ht="12.75">
      <c r="D37" s="671"/>
      <c r="E37" s="671"/>
      <c r="F37" s="671"/>
      <c r="G37" s="671"/>
      <c r="H37" s="700"/>
      <c r="I37" s="700"/>
      <c r="J37" s="701"/>
      <c r="K37" s="702"/>
      <c r="L37" s="702"/>
      <c r="M37" s="702"/>
      <c r="N37" s="702"/>
      <c r="O37" s="702"/>
      <c r="P37" s="702"/>
      <c r="Q37" s="702"/>
      <c r="R37" s="618"/>
      <c r="IV37"/>
    </row>
    <row r="38" spans="1:5" ht="12.75">
      <c r="A38" s="617"/>
      <c r="B38" s="617"/>
      <c r="C38" s="617"/>
      <c r="E38" s="703"/>
    </row>
    <row r="39" spans="1:3" ht="12.75">
      <c r="A39" s="617"/>
      <c r="B39" s="617"/>
      <c r="C39" s="617"/>
    </row>
    <row r="40" spans="1:5" ht="12.75">
      <c r="A40" s="617"/>
      <c r="B40" s="617"/>
      <c r="C40" s="617"/>
      <c r="E40" s="704"/>
    </row>
    <row r="41" spans="1:17" ht="12.75">
      <c r="A41" s="617"/>
      <c r="B41" s="617"/>
      <c r="C41" s="617"/>
      <c r="E41" s="675"/>
      <c r="F41" s="675"/>
      <c r="G41" s="675"/>
      <c r="K41" s="686"/>
      <c r="L41" s="686"/>
      <c r="M41" s="686"/>
      <c r="N41" s="686"/>
      <c r="O41" s="686"/>
      <c r="P41" s="686"/>
      <c r="Q41" s="686"/>
    </row>
    <row r="42" spans="1:17" ht="12.75">
      <c r="A42" s="617"/>
      <c r="B42" s="617"/>
      <c r="C42" s="617"/>
      <c r="K42" s="686"/>
      <c r="L42" s="686"/>
      <c r="M42" s="686"/>
      <c r="N42" s="686"/>
      <c r="O42" s="686"/>
      <c r="P42" s="686"/>
      <c r="Q42" s="686"/>
    </row>
    <row r="43" spans="1:3" ht="12.75">
      <c r="A43" s="617"/>
      <c r="B43" s="617"/>
      <c r="C43" s="617"/>
    </row>
    <row r="44" spans="1:6" ht="12.75" customHeight="1">
      <c r="A44" s="617"/>
      <c r="B44" s="617"/>
      <c r="C44" s="617"/>
      <c r="E44" s="867"/>
      <c r="F44" s="867"/>
    </row>
    <row r="45" spans="1:17" ht="12.75">
      <c r="A45" s="617"/>
      <c r="B45" s="617"/>
      <c r="C45" s="617"/>
      <c r="E45" s="705"/>
      <c r="F45" s="635"/>
      <c r="G45" s="635"/>
      <c r="H45" s="706"/>
      <c r="I45" s="706"/>
      <c r="J45" s="707"/>
      <c r="K45" s="708"/>
      <c r="L45" s="708"/>
      <c r="M45" s="708"/>
      <c r="N45" s="708"/>
      <c r="O45" s="708"/>
      <c r="P45" s="708"/>
      <c r="Q45" s="708"/>
    </row>
    <row r="46" spans="1:17" ht="12.75">
      <c r="A46" s="617"/>
      <c r="B46" s="617"/>
      <c r="C46" s="617"/>
      <c r="E46" s="709"/>
      <c r="F46" s="635"/>
      <c r="G46" s="635"/>
      <c r="H46" s="706"/>
      <c r="I46" s="706"/>
      <c r="J46" s="707"/>
      <c r="K46" s="708"/>
      <c r="L46" s="708"/>
      <c r="M46" s="708"/>
      <c r="N46" s="708"/>
      <c r="O46" s="708"/>
      <c r="P46" s="708"/>
      <c r="Q46" s="708"/>
    </row>
    <row r="47" spans="1:3" ht="12.75">
      <c r="A47" s="617"/>
      <c r="B47" s="617"/>
      <c r="C47" s="617"/>
    </row>
    <row r="48" spans="1:3" ht="12.75">
      <c r="A48" s="617"/>
      <c r="B48" s="617"/>
      <c r="C48" s="617"/>
    </row>
    <row r="49" spans="1:10" ht="12.75">
      <c r="A49" s="617"/>
      <c r="B49" s="617"/>
      <c r="C49" s="617"/>
      <c r="J49" s="710"/>
    </row>
    <row r="50" spans="1:10" ht="12.75">
      <c r="A50" s="617"/>
      <c r="B50" s="617"/>
      <c r="C50" s="617"/>
      <c r="J50" s="710"/>
    </row>
    <row r="51" spans="1:10" ht="12.75">
      <c r="A51" s="617"/>
      <c r="B51" s="617"/>
      <c r="C51" s="617"/>
      <c r="J51" s="710"/>
    </row>
    <row r="52" spans="1:10" ht="12.75">
      <c r="A52" s="617"/>
      <c r="B52" s="617"/>
      <c r="C52" s="617"/>
      <c r="J52" s="710"/>
    </row>
    <row r="53" spans="1:10" ht="12.75">
      <c r="A53" s="617"/>
      <c r="B53" s="617"/>
      <c r="C53" s="617"/>
      <c r="J53" s="710"/>
    </row>
    <row r="54" spans="1:10" ht="12.75">
      <c r="A54" s="617"/>
      <c r="B54" s="617"/>
      <c r="C54" s="617"/>
      <c r="J54" s="710"/>
    </row>
    <row r="55" spans="1:10" ht="12.75">
      <c r="A55" s="617"/>
      <c r="B55" s="617"/>
      <c r="C55" s="617"/>
      <c r="J55" s="710"/>
    </row>
    <row r="56" spans="1:3" ht="12.75">
      <c r="A56" s="617"/>
      <c r="B56" s="617"/>
      <c r="C56" s="617"/>
    </row>
    <row r="57" spans="1:10" ht="12.75">
      <c r="A57" s="617"/>
      <c r="B57" s="617"/>
      <c r="C57" s="617"/>
      <c r="J57" s="710"/>
    </row>
    <row r="58" spans="1:10" ht="12.75">
      <c r="A58" s="617"/>
      <c r="B58" s="617"/>
      <c r="C58" s="617"/>
      <c r="J58" s="710"/>
    </row>
    <row r="59" spans="1:10" ht="12.75">
      <c r="A59" s="617"/>
      <c r="B59" s="617"/>
      <c r="C59" s="617"/>
      <c r="J59" s="710"/>
    </row>
    <row r="60" spans="1:10" ht="12.75">
      <c r="A60" s="617"/>
      <c r="B60" s="617"/>
      <c r="C60" s="617"/>
      <c r="J60" s="710"/>
    </row>
    <row r="61" spans="1:3" ht="12.75">
      <c r="A61" s="617"/>
      <c r="B61" s="617"/>
      <c r="C61" s="617"/>
    </row>
    <row r="62" spans="1:3" ht="12.75">
      <c r="A62" s="617"/>
      <c r="B62" s="617"/>
      <c r="C62" s="617"/>
    </row>
    <row r="63" spans="1:3" ht="12.75">
      <c r="A63" s="617"/>
      <c r="B63" s="617"/>
      <c r="C63" s="617"/>
    </row>
    <row r="64" spans="1:3" ht="12.75">
      <c r="A64" s="617"/>
      <c r="B64" s="617"/>
      <c r="C64" s="617"/>
    </row>
    <row r="65" spans="1:3" ht="12.75">
      <c r="A65" s="617"/>
      <c r="B65" s="617"/>
      <c r="C65" s="617"/>
    </row>
    <row r="66" spans="1:3" ht="12.75">
      <c r="A66" s="617"/>
      <c r="B66" s="617"/>
      <c r="C66" s="617"/>
    </row>
    <row r="67" spans="1:3" ht="12.75">
      <c r="A67" s="617"/>
      <c r="B67" s="617"/>
      <c r="C67" s="617"/>
    </row>
    <row r="68" spans="1:3" ht="12.75">
      <c r="A68" s="617"/>
      <c r="B68" s="617"/>
      <c r="C68" s="617"/>
    </row>
    <row r="69" spans="1:3" ht="12.75">
      <c r="A69" s="617"/>
      <c r="B69" s="617"/>
      <c r="C69" s="617"/>
    </row>
    <row r="70" spans="1:3" ht="12.75">
      <c r="A70" s="617"/>
      <c r="B70" s="617"/>
      <c r="C70" s="617"/>
    </row>
    <row r="71" spans="1:3" ht="12.75">
      <c r="A71" s="617"/>
      <c r="B71" s="617"/>
      <c r="C71" s="617"/>
    </row>
    <row r="72" spans="1:3" ht="12.75">
      <c r="A72" s="617"/>
      <c r="B72" s="617"/>
      <c r="C72" s="617"/>
    </row>
    <row r="73" spans="1:3" ht="12.75">
      <c r="A73" s="617"/>
      <c r="B73" s="617"/>
      <c r="C73" s="617"/>
    </row>
    <row r="74" spans="1:3" ht="12.75">
      <c r="A74" s="617"/>
      <c r="B74" s="617"/>
      <c r="C74" s="617"/>
    </row>
    <row r="75" spans="1:3" ht="12.75">
      <c r="A75" s="617"/>
      <c r="B75" s="617"/>
      <c r="C75" s="617"/>
    </row>
    <row r="76" spans="1:3" ht="12.75">
      <c r="A76" s="617"/>
      <c r="B76" s="617"/>
      <c r="C76" s="617"/>
    </row>
    <row r="77" spans="1:3" ht="12.75">
      <c r="A77" s="617"/>
      <c r="B77" s="617"/>
      <c r="C77" s="617"/>
    </row>
    <row r="78" spans="1:3" ht="12.75">
      <c r="A78" s="617"/>
      <c r="B78" s="617"/>
      <c r="C78" s="617"/>
    </row>
    <row r="79" spans="1:3" ht="12.75">
      <c r="A79" s="617"/>
      <c r="B79" s="617"/>
      <c r="C79" s="617"/>
    </row>
    <row r="80" spans="1:3" ht="12.75">
      <c r="A80" s="617"/>
      <c r="B80" s="617"/>
      <c r="C80" s="617"/>
    </row>
    <row r="81" spans="1:3" ht="12.75">
      <c r="A81" s="617"/>
      <c r="B81" s="617"/>
      <c r="C81" s="617"/>
    </row>
    <row r="82" spans="1:3" ht="12.75">
      <c r="A82" s="617"/>
      <c r="B82" s="617"/>
      <c r="C82" s="617"/>
    </row>
    <row r="83" spans="1:3" ht="12.75">
      <c r="A83" s="617"/>
      <c r="B83" s="617"/>
      <c r="C83" s="617"/>
    </row>
    <row r="84" spans="1:3" ht="12.75">
      <c r="A84" s="617"/>
      <c r="B84" s="617"/>
      <c r="C84" s="617"/>
    </row>
    <row r="85" spans="1:3" ht="12.75">
      <c r="A85" s="617"/>
      <c r="B85" s="617"/>
      <c r="C85" s="617"/>
    </row>
    <row r="86" spans="1:3" ht="12.75">
      <c r="A86" s="617"/>
      <c r="B86" s="617"/>
      <c r="C86" s="617"/>
    </row>
    <row r="87" spans="1:3" ht="12.75">
      <c r="A87" s="617"/>
      <c r="B87" s="617"/>
      <c r="C87" s="617"/>
    </row>
    <row r="88" spans="1:3" ht="12.75">
      <c r="A88" s="617"/>
      <c r="B88" s="617"/>
      <c r="C88" s="617"/>
    </row>
    <row r="89" spans="1:3" ht="12.75">
      <c r="A89" s="617"/>
      <c r="B89" s="617"/>
      <c r="C89" s="617"/>
    </row>
    <row r="90" spans="1:3" ht="12.75">
      <c r="A90" s="617"/>
      <c r="B90" s="617"/>
      <c r="C90" s="617"/>
    </row>
    <row r="91" spans="1:3" ht="12.75">
      <c r="A91" s="617"/>
      <c r="B91" s="617"/>
      <c r="C91" s="617"/>
    </row>
    <row r="92" spans="1:3" ht="12.75">
      <c r="A92" s="617"/>
      <c r="B92" s="617"/>
      <c r="C92" s="617"/>
    </row>
    <row r="93" spans="1:3" ht="12.75">
      <c r="A93" s="617"/>
      <c r="B93" s="617"/>
      <c r="C93" s="617"/>
    </row>
    <row r="94" spans="1:3" ht="12.75">
      <c r="A94" s="617"/>
      <c r="B94" s="617"/>
      <c r="C94" s="617"/>
    </row>
    <row r="95" spans="1:3" ht="12.75">
      <c r="A95" s="617"/>
      <c r="B95" s="617"/>
      <c r="C95" s="617"/>
    </row>
    <row r="96" spans="1:3" ht="12.75">
      <c r="A96" s="617"/>
      <c r="B96" s="617"/>
      <c r="C96" s="617"/>
    </row>
    <row r="97" spans="1:3" ht="12.75">
      <c r="A97" s="617"/>
      <c r="B97" s="617"/>
      <c r="C97" s="617"/>
    </row>
    <row r="98" spans="1:3" ht="12.75">
      <c r="A98" s="617"/>
      <c r="B98" s="617"/>
      <c r="C98" s="617"/>
    </row>
    <row r="99" spans="1:3" ht="12.75">
      <c r="A99" s="617"/>
      <c r="B99" s="617"/>
      <c r="C99" s="617"/>
    </row>
    <row r="100" spans="1:3" ht="12.75">
      <c r="A100" s="617"/>
      <c r="B100" s="617"/>
      <c r="C100" s="617"/>
    </row>
    <row r="101" spans="1:3" ht="12.75">
      <c r="A101" s="617"/>
      <c r="B101" s="617"/>
      <c r="C101" s="617"/>
    </row>
    <row r="102" spans="1:3" ht="12.75">
      <c r="A102" s="617"/>
      <c r="B102" s="617"/>
      <c r="C102" s="617"/>
    </row>
    <row r="103" spans="1:3" ht="12.75">
      <c r="A103" s="617"/>
      <c r="B103" s="617"/>
      <c r="C103" s="617"/>
    </row>
    <row r="104" spans="1:3" ht="12.75">
      <c r="A104" s="617"/>
      <c r="B104" s="617"/>
      <c r="C104" s="617"/>
    </row>
    <row r="105" spans="1:3" ht="12.75">
      <c r="A105" s="617"/>
      <c r="B105" s="617"/>
      <c r="C105" s="617"/>
    </row>
    <row r="106" spans="1:3" ht="12.75">
      <c r="A106" s="617"/>
      <c r="B106" s="617"/>
      <c r="C106" s="617"/>
    </row>
    <row r="107" spans="1:3" ht="12.75">
      <c r="A107" s="617"/>
      <c r="B107" s="617"/>
      <c r="C107" s="617"/>
    </row>
    <row r="108" spans="1:3" ht="12.75">
      <c r="A108" s="617"/>
      <c r="B108" s="617"/>
      <c r="C108" s="617"/>
    </row>
    <row r="109" spans="1:3" ht="12.75">
      <c r="A109" s="617"/>
      <c r="B109" s="617"/>
      <c r="C109" s="617"/>
    </row>
    <row r="110" spans="1:3" ht="12.75">
      <c r="A110" s="617"/>
      <c r="B110" s="617"/>
      <c r="C110" s="617"/>
    </row>
    <row r="111" spans="1:3" ht="12.75">
      <c r="A111" s="617"/>
      <c r="B111" s="617"/>
      <c r="C111" s="617"/>
    </row>
    <row r="112" spans="1:3" ht="12.75">
      <c r="A112" s="617"/>
      <c r="B112" s="617"/>
      <c r="C112" s="617"/>
    </row>
    <row r="113" spans="1:3" ht="12.75">
      <c r="A113" s="617"/>
      <c r="B113" s="617"/>
      <c r="C113" s="617"/>
    </row>
    <row r="114" spans="1:3" ht="12.75">
      <c r="A114" s="617"/>
      <c r="B114" s="617"/>
      <c r="C114" s="617"/>
    </row>
    <row r="115" spans="1:3" ht="12.75">
      <c r="A115" s="617"/>
      <c r="B115" s="617"/>
      <c r="C115" s="617"/>
    </row>
    <row r="116" spans="1:3" ht="12.75">
      <c r="A116" s="617"/>
      <c r="B116" s="617"/>
      <c r="C116" s="617"/>
    </row>
    <row r="117" spans="1:3" ht="12.75">
      <c r="A117" s="617"/>
      <c r="B117" s="617"/>
      <c r="C117" s="617"/>
    </row>
    <row r="118" spans="1:3" ht="12.75">
      <c r="A118" s="617"/>
      <c r="B118" s="617"/>
      <c r="C118" s="617"/>
    </row>
    <row r="119" spans="1:3" ht="12.75">
      <c r="A119" s="617"/>
      <c r="B119" s="617"/>
      <c r="C119" s="617"/>
    </row>
    <row r="120" spans="1:3" ht="12.75">
      <c r="A120" s="617"/>
      <c r="B120" s="617"/>
      <c r="C120" s="617"/>
    </row>
    <row r="121" spans="1:3" ht="12.75">
      <c r="A121" s="617"/>
      <c r="B121" s="617"/>
      <c r="C121" s="617"/>
    </row>
    <row r="122" spans="1:3" ht="12.75">
      <c r="A122" s="617"/>
      <c r="B122" s="617"/>
      <c r="C122" s="617"/>
    </row>
    <row r="123" spans="1:3" ht="12.75">
      <c r="A123" s="617"/>
      <c r="B123" s="617"/>
      <c r="C123" s="617"/>
    </row>
    <row r="124" spans="1:3" ht="12.75">
      <c r="A124" s="617"/>
      <c r="B124" s="617"/>
      <c r="C124" s="617"/>
    </row>
    <row r="125" spans="1:3" ht="12.75">
      <c r="A125" s="617"/>
      <c r="B125" s="617"/>
      <c r="C125" s="617"/>
    </row>
    <row r="126" spans="1:3" ht="12.75">
      <c r="A126" s="617"/>
      <c r="B126" s="617"/>
      <c r="C126" s="617"/>
    </row>
    <row r="127" spans="1:3" ht="12.75">
      <c r="A127" s="617"/>
      <c r="B127" s="617"/>
      <c r="C127" s="617"/>
    </row>
    <row r="128" spans="1:3" ht="12.75">
      <c r="A128" s="617"/>
      <c r="B128" s="617"/>
      <c r="C128" s="617"/>
    </row>
    <row r="129" spans="1:3" ht="12.75">
      <c r="A129" s="617"/>
      <c r="B129" s="617"/>
      <c r="C129" s="617"/>
    </row>
    <row r="130" spans="1:3" ht="12.75">
      <c r="A130" s="617"/>
      <c r="B130" s="617"/>
      <c r="C130" s="617"/>
    </row>
    <row r="131" spans="1:3" ht="12.75">
      <c r="A131" s="617"/>
      <c r="B131" s="617"/>
      <c r="C131" s="617"/>
    </row>
    <row r="132" spans="1:3" ht="12.75">
      <c r="A132" s="617"/>
      <c r="B132" s="617"/>
      <c r="C132" s="617"/>
    </row>
    <row r="133" spans="1:3" ht="12.75">
      <c r="A133" s="617"/>
      <c r="B133" s="617"/>
      <c r="C133" s="617"/>
    </row>
    <row r="134" spans="1:3" ht="12.75">
      <c r="A134" s="617"/>
      <c r="B134" s="617"/>
      <c r="C134" s="617"/>
    </row>
    <row r="135" spans="1:3" ht="12.75">
      <c r="A135" s="617"/>
      <c r="B135" s="617"/>
      <c r="C135" s="617"/>
    </row>
    <row r="136" spans="1:3" ht="12.75">
      <c r="A136" s="617"/>
      <c r="B136" s="617"/>
      <c r="C136" s="617"/>
    </row>
    <row r="137" spans="1:3" ht="12.75">
      <c r="A137" s="617"/>
      <c r="B137" s="617"/>
      <c r="C137" s="617"/>
    </row>
    <row r="138" spans="1:3" ht="12.75">
      <c r="A138" s="617"/>
      <c r="B138" s="617"/>
      <c r="C138" s="617"/>
    </row>
    <row r="139" spans="1:3" ht="12.75">
      <c r="A139" s="617"/>
      <c r="B139" s="617"/>
      <c r="C139" s="617"/>
    </row>
    <row r="140" spans="1:3" ht="12.75">
      <c r="A140" s="617"/>
      <c r="B140" s="617"/>
      <c r="C140" s="617"/>
    </row>
    <row r="141" spans="1:3" ht="12.75">
      <c r="A141" s="617"/>
      <c r="B141" s="617"/>
      <c r="C141" s="617"/>
    </row>
    <row r="142" spans="1:3" ht="12.75">
      <c r="A142" s="617"/>
      <c r="B142" s="617"/>
      <c r="C142" s="617"/>
    </row>
    <row r="143" spans="1:3" ht="12.75">
      <c r="A143" s="617"/>
      <c r="B143" s="617"/>
      <c r="C143" s="617"/>
    </row>
    <row r="144" spans="1:3" ht="12.75">
      <c r="A144" s="617"/>
      <c r="B144" s="617"/>
      <c r="C144" s="617"/>
    </row>
    <row r="145" spans="1:3" ht="12.75">
      <c r="A145" s="617"/>
      <c r="B145" s="617"/>
      <c r="C145" s="617"/>
    </row>
    <row r="146" spans="1:3" ht="12.75">
      <c r="A146" s="617"/>
      <c r="B146" s="617"/>
      <c r="C146" s="617"/>
    </row>
    <row r="147" spans="1:3" ht="12.75">
      <c r="A147" s="617"/>
      <c r="B147" s="617"/>
      <c r="C147" s="617"/>
    </row>
    <row r="148" spans="1:3" ht="12.75">
      <c r="A148" s="617"/>
      <c r="B148" s="617"/>
      <c r="C148" s="617"/>
    </row>
    <row r="149" spans="1:3" ht="12.75">
      <c r="A149" s="617"/>
      <c r="B149" s="617"/>
      <c r="C149" s="617"/>
    </row>
    <row r="150" spans="1:3" ht="12.75">
      <c r="A150" s="617"/>
      <c r="B150" s="617"/>
      <c r="C150" s="617"/>
    </row>
    <row r="151" spans="1:3" ht="12.75">
      <c r="A151" s="617"/>
      <c r="B151" s="617"/>
      <c r="C151" s="617"/>
    </row>
    <row r="152" spans="1:3" ht="12.75">
      <c r="A152" s="617"/>
      <c r="B152" s="617"/>
      <c r="C152" s="617"/>
    </row>
    <row r="153" spans="1:3" ht="12.75">
      <c r="A153" s="617"/>
      <c r="B153" s="617"/>
      <c r="C153" s="617"/>
    </row>
    <row r="154" spans="1:3" ht="12.75">
      <c r="A154" s="617"/>
      <c r="B154" s="617"/>
      <c r="C154" s="617"/>
    </row>
    <row r="155" spans="1:3" ht="12.75">
      <c r="A155" s="617"/>
      <c r="B155" s="617"/>
      <c r="C155" s="617"/>
    </row>
    <row r="156" spans="1:3" ht="12.75">
      <c r="A156" s="617"/>
      <c r="B156" s="617"/>
      <c r="C156" s="617"/>
    </row>
  </sheetData>
  <mergeCells count="78">
    <mergeCell ref="F34:G34"/>
    <mergeCell ref="E44:F44"/>
    <mergeCell ref="I26:I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E26:E29"/>
    <mergeCell ref="F26:F29"/>
    <mergeCell ref="G26:G29"/>
    <mergeCell ref="H26:H29"/>
    <mergeCell ref="A26:A29"/>
    <mergeCell ref="B26:B29"/>
    <mergeCell ref="C26:C29"/>
    <mergeCell ref="D26:D29"/>
    <mergeCell ref="I18:I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E18:E21"/>
    <mergeCell ref="F18:F21"/>
    <mergeCell ref="G18:G21"/>
    <mergeCell ref="H18:H21"/>
    <mergeCell ref="A18:A21"/>
    <mergeCell ref="B18:B21"/>
    <mergeCell ref="C18:C21"/>
    <mergeCell ref="D18:D21"/>
    <mergeCell ref="I10:I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J4:K5"/>
    <mergeCell ref="L4:L5"/>
    <mergeCell ref="M4:Q4"/>
    <mergeCell ref="A6:A9"/>
    <mergeCell ref="B6:B9"/>
    <mergeCell ref="C6:C9"/>
    <mergeCell ref="D6:D9"/>
    <mergeCell ref="E6:E9"/>
    <mergeCell ref="F6:F9"/>
    <mergeCell ref="G6:G9"/>
    <mergeCell ref="A1:Q1"/>
    <mergeCell ref="A2:Q2"/>
    <mergeCell ref="A4:A5"/>
    <mergeCell ref="B4:B5"/>
    <mergeCell ref="C4:C5"/>
    <mergeCell ref="D4:D5"/>
    <mergeCell ref="E4:E5"/>
    <mergeCell ref="F4:G5"/>
    <mergeCell ref="H4:H5"/>
    <mergeCell ref="I4:I5"/>
  </mergeCells>
  <printOptions/>
  <pageMargins left="0.5902777777777778" right="0.5902777777777778" top="0.5902777777777778" bottom="0.48333333333333334" header="0.5118055555555556" footer="0.31666666666666665"/>
  <pageSetup horizontalDpi="300" verticalDpi="300" orientation="landscape" paperSize="9" scale="78" r:id="rId1"/>
  <headerFooter alignWithMargins="0">
    <oddFooter>&amp;C&amp;"Times New Roman,Normalny"&amp;12Strona &amp;P z &amp;N</oddFooter>
  </headerFooter>
  <rowBreaks count="2" manualBreakCount="2">
    <brk id="33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2.75"/>
  <cols>
    <col min="1" max="2" width="9.625" style="42" customWidth="1"/>
    <col min="3" max="3" width="8.625" style="42" customWidth="1"/>
    <col min="4" max="4" width="100.125" style="3" customWidth="1"/>
    <col min="5" max="5" width="13.00390625" style="3" customWidth="1"/>
    <col min="6" max="6" width="13.00390625" style="101" customWidth="1"/>
    <col min="7" max="16384" width="11.625" style="42" customWidth="1"/>
  </cols>
  <sheetData>
    <row r="1" spans="1:7" ht="15" customHeight="1">
      <c r="A1" s="725" t="s">
        <v>435</v>
      </c>
      <c r="B1" s="725"/>
      <c r="C1" s="725"/>
      <c r="D1" s="725"/>
      <c r="E1" s="725"/>
      <c r="F1" s="725"/>
      <c r="G1" s="725"/>
    </row>
    <row r="2" spans="1:7" ht="59.25" customHeight="1">
      <c r="A2" s="719" t="s">
        <v>436</v>
      </c>
      <c r="B2" s="719"/>
      <c r="C2" s="719"/>
      <c r="D2" s="719"/>
      <c r="E2" s="719"/>
      <c r="F2" s="719"/>
      <c r="G2" s="719"/>
    </row>
    <row r="3" spans="1:7" ht="15.75">
      <c r="A3" s="102"/>
      <c r="G3" s="47" t="s">
        <v>274</v>
      </c>
    </row>
    <row r="4" spans="1:7" s="104" customFormat="1" ht="15" customHeight="1">
      <c r="A4" s="726" t="s">
        <v>275</v>
      </c>
      <c r="B4" s="726" t="s">
        <v>296</v>
      </c>
      <c r="C4" s="727" t="s">
        <v>297</v>
      </c>
      <c r="D4" s="726" t="s">
        <v>437</v>
      </c>
      <c r="E4" s="726" t="s">
        <v>438</v>
      </c>
      <c r="F4" s="103" t="s">
        <v>300</v>
      </c>
      <c r="G4" s="103"/>
    </row>
    <row r="5" spans="1:7" s="105" customFormat="1" ht="29.25" customHeight="1">
      <c r="A5" s="726"/>
      <c r="B5" s="726"/>
      <c r="C5" s="727"/>
      <c r="D5" s="727"/>
      <c r="E5" s="727"/>
      <c r="F5" s="103" t="s">
        <v>301</v>
      </c>
      <c r="G5" s="103" t="s">
        <v>302</v>
      </c>
    </row>
    <row r="6" spans="1:7" s="105" customFormat="1" ht="12.75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</row>
    <row r="7" spans="1:7" ht="15.75">
      <c r="A7" s="63">
        <v>750</v>
      </c>
      <c r="B7" s="63"/>
      <c r="C7" s="63"/>
      <c r="D7" s="64" t="s">
        <v>330</v>
      </c>
      <c r="E7" s="93">
        <f>E8</f>
        <v>144800</v>
      </c>
      <c r="F7" s="93">
        <f>F8</f>
        <v>144800</v>
      </c>
      <c r="G7" s="64"/>
    </row>
    <row r="8" spans="1:7" ht="15.75">
      <c r="A8" s="65"/>
      <c r="B8" s="67">
        <v>75011</v>
      </c>
      <c r="C8" s="67"/>
      <c r="D8" s="1" t="s">
        <v>331</v>
      </c>
      <c r="E8" s="96">
        <f>E9</f>
        <v>144800</v>
      </c>
      <c r="F8" s="96">
        <f>F9</f>
        <v>144800</v>
      </c>
      <c r="G8" s="108"/>
    </row>
    <row r="9" spans="1:7" ht="31.5">
      <c r="A9" s="65"/>
      <c r="B9" s="67"/>
      <c r="C9" s="67">
        <v>2010</v>
      </c>
      <c r="D9" s="1" t="s">
        <v>439</v>
      </c>
      <c r="E9" s="96">
        <f>F9</f>
        <v>144800</v>
      </c>
      <c r="F9" s="96">
        <v>144800</v>
      </c>
      <c r="G9" s="108"/>
    </row>
    <row r="10" spans="1:7" ht="15.75">
      <c r="A10" s="63">
        <v>852</v>
      </c>
      <c r="B10" s="63"/>
      <c r="C10" s="63"/>
      <c r="D10" s="64" t="s">
        <v>440</v>
      </c>
      <c r="E10" s="93">
        <f>E11+E13+E15+E17</f>
        <v>5652000</v>
      </c>
      <c r="F10" s="93">
        <f>F11+F13+F15+F17</f>
        <v>5652000</v>
      </c>
      <c r="G10" s="93">
        <f>G11+G13+G15+G17</f>
        <v>0</v>
      </c>
    </row>
    <row r="11" spans="1:7" ht="15.75">
      <c r="A11" s="65"/>
      <c r="B11" s="67">
        <v>85203</v>
      </c>
      <c r="C11" s="67"/>
      <c r="D11" s="1" t="s">
        <v>441</v>
      </c>
      <c r="E11" s="96">
        <f>E12</f>
        <v>328000</v>
      </c>
      <c r="F11" s="96">
        <f>F12</f>
        <v>328000</v>
      </c>
      <c r="G11" s="108"/>
    </row>
    <row r="12" spans="1:7" ht="31.5">
      <c r="A12" s="65"/>
      <c r="B12" s="67"/>
      <c r="C12" s="67">
        <v>2010</v>
      </c>
      <c r="D12" s="1" t="s">
        <v>439</v>
      </c>
      <c r="E12" s="96">
        <f>F12</f>
        <v>328000</v>
      </c>
      <c r="F12" s="96">
        <v>328000</v>
      </c>
      <c r="G12" s="108"/>
    </row>
    <row r="13" spans="1:7" ht="31.5">
      <c r="A13" s="65"/>
      <c r="B13" s="67">
        <v>85212</v>
      </c>
      <c r="C13" s="67"/>
      <c r="D13" s="1" t="s">
        <v>442</v>
      </c>
      <c r="E13" s="96">
        <f>E14</f>
        <v>5245000</v>
      </c>
      <c r="F13" s="96">
        <f>F14</f>
        <v>5245000</v>
      </c>
      <c r="G13" s="108"/>
    </row>
    <row r="14" spans="1:7" ht="31.5">
      <c r="A14" s="65"/>
      <c r="B14" s="67"/>
      <c r="C14" s="67">
        <v>2010</v>
      </c>
      <c r="D14" s="1" t="s">
        <v>439</v>
      </c>
      <c r="E14" s="96">
        <f>F14</f>
        <v>5245000</v>
      </c>
      <c r="F14" s="96">
        <v>5245000</v>
      </c>
      <c r="G14" s="108"/>
    </row>
    <row r="15" spans="1:7" ht="31.5">
      <c r="A15" s="65"/>
      <c r="B15" s="67">
        <v>85213</v>
      </c>
      <c r="C15" s="67"/>
      <c r="D15" s="1" t="s">
        <v>414</v>
      </c>
      <c r="E15" s="96">
        <f>E16</f>
        <v>6000</v>
      </c>
      <c r="F15" s="96">
        <f>F16</f>
        <v>6000</v>
      </c>
      <c r="G15" s="108"/>
    </row>
    <row r="16" spans="1:7" ht="31.5">
      <c r="A16" s="65"/>
      <c r="B16" s="67"/>
      <c r="C16" s="67">
        <v>2010</v>
      </c>
      <c r="D16" s="1" t="s">
        <v>439</v>
      </c>
      <c r="E16" s="96">
        <f>F16</f>
        <v>6000</v>
      </c>
      <c r="F16" s="96">
        <v>6000</v>
      </c>
      <c r="G16" s="108"/>
    </row>
    <row r="17" spans="1:7" ht="15.75">
      <c r="A17" s="67"/>
      <c r="B17" s="67">
        <v>85228</v>
      </c>
      <c r="C17" s="67"/>
      <c r="D17" s="109" t="s">
        <v>422</v>
      </c>
      <c r="E17" s="96">
        <f>E18</f>
        <v>73000</v>
      </c>
      <c r="F17" s="96">
        <f>F18</f>
        <v>73000</v>
      </c>
      <c r="G17" s="95"/>
    </row>
    <row r="18" spans="1:7" ht="39" customHeight="1">
      <c r="A18" s="67"/>
      <c r="B18" s="110" t="s">
        <v>443</v>
      </c>
      <c r="C18" s="67">
        <v>2010</v>
      </c>
      <c r="D18" s="1" t="s">
        <v>439</v>
      </c>
      <c r="E18" s="96">
        <f>F18</f>
        <v>73000</v>
      </c>
      <c r="F18" s="96">
        <v>73000</v>
      </c>
      <c r="G18" s="95"/>
    </row>
    <row r="19" spans="1:7" ht="15" customHeight="1">
      <c r="A19" s="728" t="s">
        <v>434</v>
      </c>
      <c r="B19" s="728"/>
      <c r="C19" s="728"/>
      <c r="D19" s="728"/>
      <c r="E19" s="88">
        <f>E10+E7</f>
        <v>5796800</v>
      </c>
      <c r="F19" s="88">
        <f>F10+F7</f>
        <v>5796800</v>
      </c>
      <c r="G19" s="88">
        <f>G10+G7</f>
        <v>0</v>
      </c>
    </row>
  </sheetData>
  <mergeCells count="8">
    <mergeCell ref="A19:D19"/>
    <mergeCell ref="A1:G1"/>
    <mergeCell ref="A2:G2"/>
    <mergeCell ref="A4:A5"/>
    <mergeCell ref="B4:B5"/>
    <mergeCell ref="C4:C5"/>
    <mergeCell ref="D4:D5"/>
    <mergeCell ref="E4:E5"/>
  </mergeCells>
  <printOptions horizontalCentered="1" vertic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82" r:id="rId1"/>
  <headerFooter alignWithMargins="0">
    <oddFooter>&amp;C&amp;"Times New Roman,Normalny"&amp;12Strona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2.75"/>
  <cols>
    <col min="1" max="1" width="7.00390625" style="42" customWidth="1"/>
    <col min="2" max="2" width="11.625" style="42" customWidth="1"/>
    <col min="3" max="3" width="6.875" style="42" customWidth="1"/>
    <col min="4" max="4" width="75.75390625" style="42" customWidth="1"/>
    <col min="5" max="5" width="21.25390625" style="42" customWidth="1"/>
    <col min="6" max="6" width="18.125" style="42" customWidth="1"/>
    <col min="7" max="16384" width="9.00390625" style="42" customWidth="1"/>
  </cols>
  <sheetData>
    <row r="1" spans="1:6" ht="15" customHeight="1">
      <c r="A1" s="725" t="s">
        <v>444</v>
      </c>
      <c r="B1" s="725"/>
      <c r="C1" s="725"/>
      <c r="D1" s="725"/>
      <c r="E1" s="725"/>
      <c r="F1" s="725"/>
    </row>
    <row r="2" spans="1:6" ht="60" customHeight="1">
      <c r="A2" s="729" t="s">
        <v>445</v>
      </c>
      <c r="B2" s="729"/>
      <c r="C2" s="729"/>
      <c r="D2" s="729"/>
      <c r="E2" s="729"/>
      <c r="F2" s="729"/>
    </row>
    <row r="3" ht="15.75">
      <c r="F3" s="47" t="s">
        <v>274</v>
      </c>
    </row>
    <row r="4" spans="1:6" s="49" customFormat="1" ht="15" customHeight="1">
      <c r="A4" s="726" t="s">
        <v>275</v>
      </c>
      <c r="B4" s="726" t="s">
        <v>296</v>
      </c>
      <c r="C4" s="727" t="s">
        <v>297</v>
      </c>
      <c r="D4" s="726" t="s">
        <v>437</v>
      </c>
      <c r="E4" s="726" t="s">
        <v>300</v>
      </c>
      <c r="F4" s="726"/>
    </row>
    <row r="5" spans="1:6" s="49" customFormat="1" ht="40.5" customHeight="1">
      <c r="A5" s="726"/>
      <c r="B5" s="726"/>
      <c r="C5" s="727"/>
      <c r="D5" s="727"/>
      <c r="E5" s="103" t="s">
        <v>301</v>
      </c>
      <c r="F5" s="103" t="s">
        <v>302</v>
      </c>
    </row>
    <row r="6" spans="1:6" s="43" customFormat="1" ht="21" customHeight="1">
      <c r="A6" s="63">
        <v>710</v>
      </c>
      <c r="B6" s="63"/>
      <c r="C6" s="63"/>
      <c r="D6" s="64" t="s">
        <v>446</v>
      </c>
      <c r="E6" s="111">
        <f>E7</f>
        <v>7000</v>
      </c>
      <c r="F6" s="63"/>
    </row>
    <row r="7" spans="1:6" ht="15.75">
      <c r="A7" s="65"/>
      <c r="B7" s="67">
        <v>71035</v>
      </c>
      <c r="C7" s="67"/>
      <c r="D7" s="1" t="s">
        <v>331</v>
      </c>
      <c r="E7" s="112">
        <f>E8</f>
        <v>7000</v>
      </c>
      <c r="F7" s="113"/>
    </row>
    <row r="8" spans="1:6" ht="31.5">
      <c r="A8" s="65"/>
      <c r="B8" s="67"/>
      <c r="C8" s="67">
        <v>2020</v>
      </c>
      <c r="D8" s="1" t="s">
        <v>447</v>
      </c>
      <c r="E8" s="112">
        <v>7000</v>
      </c>
      <c r="F8" s="113"/>
    </row>
    <row r="9" spans="1:6" s="85" customFormat="1" ht="19.5" customHeight="1">
      <c r="A9" s="730" t="s">
        <v>289</v>
      </c>
      <c r="B9" s="730"/>
      <c r="C9" s="730"/>
      <c r="D9" s="730"/>
      <c r="E9" s="114">
        <f>E8</f>
        <v>7000</v>
      </c>
      <c r="F9" s="114">
        <f>F8</f>
        <v>0</v>
      </c>
    </row>
    <row r="11" ht="15.75">
      <c r="A11" s="102"/>
    </row>
  </sheetData>
  <mergeCells count="8">
    <mergeCell ref="A9:D9"/>
    <mergeCell ref="A1:F1"/>
    <mergeCell ref="A2:F2"/>
    <mergeCell ref="A4:A5"/>
    <mergeCell ref="B4:B5"/>
    <mergeCell ref="C4:C5"/>
    <mergeCell ref="D4:D5"/>
    <mergeCell ref="E4:F4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95" r:id="rId1"/>
  <headerFooter alignWithMargins="0">
    <oddFooter>&amp;C&amp;"Times New Roman,Normalny"&amp;12Strona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8" customHeight="1"/>
  <cols>
    <col min="1" max="1" width="6.00390625" style="115" customWidth="1"/>
    <col min="2" max="2" width="8.625" style="116" customWidth="1"/>
    <col min="3" max="3" width="6.00390625" style="116" customWidth="1"/>
    <col min="4" max="4" width="87.25390625" style="117" customWidth="1"/>
    <col min="5" max="5" width="12.75390625" style="118" customWidth="1"/>
    <col min="6" max="6" width="13.875" style="118" customWidth="1"/>
    <col min="7" max="7" width="12.125" style="118" customWidth="1"/>
    <col min="8" max="16384" width="9.00390625" style="116" customWidth="1"/>
  </cols>
  <sheetData>
    <row r="1" spans="1:7" ht="15.75" customHeight="1">
      <c r="A1" s="715" t="s">
        <v>448</v>
      </c>
      <c r="B1" s="715"/>
      <c r="C1" s="715"/>
      <c r="D1" s="715"/>
      <c r="E1" s="715"/>
      <c r="F1" s="715"/>
      <c r="G1" s="715"/>
    </row>
    <row r="2" spans="1:7" ht="46.5" customHeight="1">
      <c r="A2" s="716" t="s">
        <v>294</v>
      </c>
      <c r="B2" s="716"/>
      <c r="C2" s="716"/>
      <c r="D2" s="716"/>
      <c r="E2" s="716"/>
      <c r="F2" s="716"/>
      <c r="G2" s="716"/>
    </row>
    <row r="3" spans="1:7" ht="18" customHeight="1">
      <c r="A3" s="731" t="s">
        <v>449</v>
      </c>
      <c r="B3" s="731"/>
      <c r="C3" s="731"/>
      <c r="D3" s="119"/>
      <c r="E3" s="120"/>
      <c r="F3" s="120"/>
      <c r="G3" s="121" t="s">
        <v>274</v>
      </c>
    </row>
    <row r="4" spans="1:7" s="123" customFormat="1" ht="16.5" customHeight="1">
      <c r="A4" s="732" t="s">
        <v>275</v>
      </c>
      <c r="B4" s="733" t="s">
        <v>296</v>
      </c>
      <c r="C4" s="733" t="s">
        <v>297</v>
      </c>
      <c r="D4" s="733" t="s">
        <v>298</v>
      </c>
      <c r="E4" s="733" t="s">
        <v>299</v>
      </c>
      <c r="F4" s="733" t="s">
        <v>300</v>
      </c>
      <c r="G4" s="733"/>
    </row>
    <row r="5" spans="1:7" s="124" customFormat="1" ht="30" customHeight="1">
      <c r="A5" s="732"/>
      <c r="B5" s="733"/>
      <c r="C5" s="733"/>
      <c r="D5" s="733"/>
      <c r="E5" s="733"/>
      <c r="F5" s="122" t="s">
        <v>301</v>
      </c>
      <c r="G5" s="122" t="s">
        <v>302</v>
      </c>
    </row>
    <row r="6" spans="1:7" s="127" customFormat="1" ht="18" customHeight="1">
      <c r="A6" s="125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8" customHeight="1">
      <c r="A7" s="63">
        <v>600</v>
      </c>
      <c r="B7" s="63"/>
      <c r="C7" s="63"/>
      <c r="D7" s="64" t="s">
        <v>309</v>
      </c>
      <c r="E7" s="55">
        <f aca="true" t="shared" si="0" ref="E7:G8">E8</f>
        <v>978250</v>
      </c>
      <c r="F7" s="55">
        <f t="shared" si="0"/>
        <v>978250</v>
      </c>
      <c r="G7" s="55">
        <f t="shared" si="0"/>
        <v>0</v>
      </c>
    </row>
    <row r="8" spans="1:7" ht="18" customHeight="1">
      <c r="A8" s="65"/>
      <c r="B8" s="65">
        <v>60016</v>
      </c>
      <c r="C8" s="65"/>
      <c r="D8" s="66" t="s">
        <v>310</v>
      </c>
      <c r="E8" s="58">
        <f t="shared" si="0"/>
        <v>978250</v>
      </c>
      <c r="F8" s="58">
        <f t="shared" si="0"/>
        <v>978250</v>
      </c>
      <c r="G8" s="58">
        <f t="shared" si="0"/>
        <v>0</v>
      </c>
    </row>
    <row r="9" spans="1:7" ht="32.25" customHeight="1">
      <c r="A9" s="65"/>
      <c r="B9" s="67"/>
      <c r="C9" s="68" t="s">
        <v>311</v>
      </c>
      <c r="D9" s="69" t="s">
        <v>312</v>
      </c>
      <c r="E9" s="61">
        <f>F9+L9</f>
        <v>978250</v>
      </c>
      <c r="F9" s="61">
        <f>'zał 2'!E12</f>
        <v>978250</v>
      </c>
      <c r="G9" s="71"/>
    </row>
    <row r="10" spans="1:7" ht="21" customHeight="1">
      <c r="A10" s="53">
        <v>710</v>
      </c>
      <c r="B10" s="53"/>
      <c r="C10" s="53"/>
      <c r="D10" s="54" t="s">
        <v>327</v>
      </c>
      <c r="E10" s="55">
        <f aca="true" t="shared" si="1" ref="E10:G11">E11</f>
        <v>40000</v>
      </c>
      <c r="F10" s="55">
        <f t="shared" si="1"/>
        <v>40000</v>
      </c>
      <c r="G10" s="55">
        <f t="shared" si="1"/>
        <v>0</v>
      </c>
    </row>
    <row r="11" spans="1:7" ht="15.75" customHeight="1">
      <c r="A11" s="56"/>
      <c r="B11" s="56">
        <v>71035</v>
      </c>
      <c r="C11" s="56"/>
      <c r="D11" s="57" t="s">
        <v>328</v>
      </c>
      <c r="E11" s="61">
        <f t="shared" si="1"/>
        <v>40000</v>
      </c>
      <c r="F11" s="61">
        <f t="shared" si="1"/>
        <v>40000</v>
      </c>
      <c r="G11" s="61">
        <f t="shared" si="1"/>
        <v>0</v>
      </c>
    </row>
    <row r="12" spans="1:7" ht="32.25" customHeight="1">
      <c r="A12" s="56"/>
      <c r="B12" s="59"/>
      <c r="C12" s="68" t="s">
        <v>311</v>
      </c>
      <c r="D12" s="69" t="s">
        <v>312</v>
      </c>
      <c r="E12" s="61">
        <f>F12</f>
        <v>40000</v>
      </c>
      <c r="F12" s="61">
        <f>'zał 2'!F26</f>
        <v>40000</v>
      </c>
      <c r="G12" s="62"/>
    </row>
    <row r="13" spans="1:7" ht="18" customHeight="1">
      <c r="A13" s="734" t="s">
        <v>434</v>
      </c>
      <c r="B13" s="734"/>
      <c r="C13" s="734"/>
      <c r="D13" s="734"/>
      <c r="E13" s="88">
        <f>E7+E10</f>
        <v>1018250</v>
      </c>
      <c r="F13" s="88">
        <f>F7+F10</f>
        <v>1018250</v>
      </c>
      <c r="G13" s="88">
        <f>G7+G10</f>
        <v>0</v>
      </c>
    </row>
    <row r="14" spans="1:7" ht="18" customHeight="1">
      <c r="A14" s="128"/>
      <c r="B14" s="128"/>
      <c r="C14" s="128"/>
      <c r="D14" s="129"/>
      <c r="E14" s="130"/>
      <c r="F14" s="130"/>
      <c r="G14" s="130"/>
    </row>
    <row r="15" spans="1:7" ht="18" customHeight="1">
      <c r="A15" s="128"/>
      <c r="B15" s="131"/>
      <c r="C15" s="131"/>
      <c r="D15" s="132"/>
      <c r="E15" s="133"/>
      <c r="F15" s="133"/>
      <c r="G15" s="134"/>
    </row>
    <row r="16" spans="1:7" ht="18" customHeight="1">
      <c r="A16" s="128"/>
      <c r="B16" s="131"/>
      <c r="C16" s="131"/>
      <c r="D16" s="132"/>
      <c r="E16" s="133"/>
      <c r="F16" s="133"/>
      <c r="G16" s="134"/>
    </row>
    <row r="17" spans="1:7" ht="32.25" customHeight="1">
      <c r="A17" s="128"/>
      <c r="B17" s="128"/>
      <c r="C17" s="128"/>
      <c r="D17" s="129"/>
      <c r="E17" s="130"/>
      <c r="F17" s="130"/>
      <c r="G17" s="130"/>
    </row>
    <row r="18" spans="1:7" ht="18" customHeight="1">
      <c r="A18" s="131"/>
      <c r="B18" s="131"/>
      <c r="C18" s="131"/>
      <c r="D18" s="132"/>
      <c r="E18" s="133"/>
      <c r="F18" s="133"/>
      <c r="G18" s="134"/>
    </row>
    <row r="19" spans="1:7" ht="18" customHeight="1">
      <c r="A19" s="131"/>
      <c r="B19" s="131"/>
      <c r="C19" s="131"/>
      <c r="D19" s="132"/>
      <c r="E19" s="133"/>
      <c r="F19" s="133"/>
      <c r="G19" s="134"/>
    </row>
    <row r="20" spans="1:7" ht="18" customHeight="1">
      <c r="A20" s="131"/>
      <c r="B20" s="131"/>
      <c r="C20" s="131"/>
      <c r="D20" s="132"/>
      <c r="E20" s="133"/>
      <c r="F20" s="133"/>
      <c r="G20" s="134"/>
    </row>
    <row r="21" spans="1:7" ht="18" customHeight="1">
      <c r="A21" s="135"/>
      <c r="B21" s="131"/>
      <c r="C21" s="131"/>
      <c r="D21" s="132"/>
      <c r="E21" s="133"/>
      <c r="F21" s="133"/>
      <c r="G21" s="134"/>
    </row>
    <row r="22" spans="1:7" ht="18" customHeight="1">
      <c r="A22" s="135"/>
      <c r="B22" s="131"/>
      <c r="C22" s="131"/>
      <c r="D22" s="132"/>
      <c r="E22" s="133"/>
      <c r="F22" s="133"/>
      <c r="G22" s="134"/>
    </row>
    <row r="23" spans="1:7" ht="18" customHeight="1">
      <c r="A23" s="135"/>
      <c r="B23" s="131"/>
      <c r="C23" s="131"/>
      <c r="D23" s="132"/>
      <c r="E23" s="133"/>
      <c r="F23" s="133"/>
      <c r="G23" s="134"/>
    </row>
    <row r="24" spans="1:7" ht="18" customHeight="1">
      <c r="A24" s="135"/>
      <c r="B24" s="131"/>
      <c r="C24" s="131"/>
      <c r="D24" s="132"/>
      <c r="E24" s="133"/>
      <c r="F24" s="133"/>
      <c r="G24" s="134"/>
    </row>
    <row r="25" spans="1:7" ht="18" customHeight="1">
      <c r="A25" s="135"/>
      <c r="B25" s="131"/>
      <c r="C25" s="131"/>
      <c r="D25" s="132"/>
      <c r="E25" s="133"/>
      <c r="F25" s="133"/>
      <c r="G25" s="134"/>
    </row>
    <row r="26" spans="1:7" ht="32.25" customHeight="1">
      <c r="A26" s="136"/>
      <c r="B26" s="128"/>
      <c r="C26" s="128"/>
      <c r="D26" s="129"/>
      <c r="E26" s="130"/>
      <c r="F26" s="130"/>
      <c r="G26" s="130"/>
    </row>
    <row r="27" spans="1:7" ht="18" customHeight="1">
      <c r="A27" s="135"/>
      <c r="B27" s="131"/>
      <c r="C27" s="131"/>
      <c r="D27" s="132"/>
      <c r="E27" s="133"/>
      <c r="F27" s="133"/>
      <c r="G27" s="134"/>
    </row>
    <row r="28" spans="1:7" ht="18" customHeight="1">
      <c r="A28" s="135"/>
      <c r="B28" s="131"/>
      <c r="C28" s="131"/>
      <c r="D28" s="132"/>
      <c r="E28" s="133"/>
      <c r="F28" s="133"/>
      <c r="G28" s="134"/>
    </row>
    <row r="29" spans="1:7" ht="18" customHeight="1">
      <c r="A29" s="135"/>
      <c r="B29" s="131"/>
      <c r="C29" s="131"/>
      <c r="D29" s="132"/>
      <c r="E29" s="133"/>
      <c r="F29" s="133"/>
      <c r="G29" s="134"/>
    </row>
    <row r="30" spans="1:7" ht="18" customHeight="1">
      <c r="A30" s="131"/>
      <c r="B30" s="131"/>
      <c r="C30" s="131"/>
      <c r="D30" s="132"/>
      <c r="E30" s="133"/>
      <c r="F30" s="133"/>
      <c r="G30" s="134"/>
    </row>
    <row r="31" spans="1:7" ht="18" customHeight="1">
      <c r="A31" s="135"/>
      <c r="B31" s="131"/>
      <c r="C31" s="131"/>
      <c r="D31" s="132"/>
      <c r="E31" s="133"/>
      <c r="F31" s="133"/>
      <c r="G31" s="134"/>
    </row>
    <row r="32" spans="1:7" ht="18" customHeight="1">
      <c r="A32" s="135"/>
      <c r="B32" s="131"/>
      <c r="C32" s="131"/>
      <c r="D32" s="132"/>
      <c r="E32" s="133"/>
      <c r="F32" s="133"/>
      <c r="G32" s="134"/>
    </row>
    <row r="33" spans="1:7" ht="18" customHeight="1">
      <c r="A33" s="135"/>
      <c r="B33" s="131"/>
      <c r="C33" s="131"/>
      <c r="D33" s="132"/>
      <c r="E33" s="133"/>
      <c r="F33" s="133"/>
      <c r="G33" s="134"/>
    </row>
    <row r="34" spans="1:7" ht="18" customHeight="1">
      <c r="A34" s="135"/>
      <c r="B34" s="131"/>
      <c r="C34" s="131"/>
      <c r="D34" s="132"/>
      <c r="E34" s="133"/>
      <c r="F34" s="133"/>
      <c r="G34" s="134"/>
    </row>
    <row r="35" spans="1:7" ht="18" customHeight="1">
      <c r="A35" s="131"/>
      <c r="B35" s="131"/>
      <c r="C35" s="131"/>
      <c r="D35" s="132"/>
      <c r="E35" s="133"/>
      <c r="F35" s="133"/>
      <c r="G35" s="134"/>
    </row>
    <row r="36" spans="1:7" ht="18" customHeight="1">
      <c r="A36" s="131"/>
      <c r="B36" s="131"/>
      <c r="C36" s="131"/>
      <c r="D36" s="132"/>
      <c r="E36" s="133"/>
      <c r="F36" s="133"/>
      <c r="G36" s="134"/>
    </row>
    <row r="37" spans="1:7" ht="32.25" customHeight="1">
      <c r="A37" s="128"/>
      <c r="B37" s="128"/>
      <c r="C37" s="128"/>
      <c r="D37" s="129"/>
      <c r="E37" s="130"/>
      <c r="F37" s="130"/>
      <c r="G37" s="130"/>
    </row>
    <row r="38" spans="1:7" ht="32.25" customHeight="1">
      <c r="A38" s="128"/>
      <c r="B38" s="131"/>
      <c r="C38" s="131"/>
      <c r="D38" s="132"/>
      <c r="E38" s="133"/>
      <c r="F38" s="133"/>
      <c r="G38" s="134"/>
    </row>
    <row r="39" spans="1:7" ht="18" customHeight="1">
      <c r="A39" s="128"/>
      <c r="B39" s="128"/>
      <c r="C39" s="128"/>
      <c r="D39" s="129"/>
      <c r="E39" s="130"/>
      <c r="F39" s="130"/>
      <c r="G39" s="130"/>
    </row>
    <row r="40" spans="1:7" ht="18" customHeight="1">
      <c r="A40" s="128"/>
      <c r="B40" s="131"/>
      <c r="C40" s="131"/>
      <c r="D40" s="132"/>
      <c r="E40" s="133"/>
      <c r="F40" s="133"/>
      <c r="G40" s="134"/>
    </row>
    <row r="41" spans="1:7" ht="18" customHeight="1">
      <c r="A41" s="128"/>
      <c r="B41" s="128"/>
      <c r="C41" s="128"/>
      <c r="D41" s="129"/>
      <c r="E41" s="130"/>
      <c r="F41" s="130"/>
      <c r="G41" s="130"/>
    </row>
    <row r="42" ht="18" customHeight="1">
      <c r="E42" s="137"/>
    </row>
    <row r="44" spans="5:6" ht="18" customHeight="1">
      <c r="E44" s="137"/>
      <c r="F44" s="137"/>
    </row>
    <row r="45" ht="18" customHeight="1">
      <c r="E45" s="137"/>
    </row>
    <row r="46" ht="18" customHeight="1">
      <c r="E46" s="138"/>
    </row>
  </sheetData>
  <mergeCells count="10">
    <mergeCell ref="A13:D13"/>
    <mergeCell ref="A1:G1"/>
    <mergeCell ref="A2:G2"/>
    <mergeCell ref="A3:C3"/>
    <mergeCell ref="A4:A5"/>
    <mergeCell ref="B4:B5"/>
    <mergeCell ref="C4:C5"/>
    <mergeCell ref="D4:D5"/>
    <mergeCell ref="E4:E5"/>
    <mergeCell ref="F4:G4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landscape" paperSize="9" scale="92" r:id="rId1"/>
  <headerFooter alignWithMargins="0">
    <oddFooter>&amp;C&amp;"Times New Roman,Normalny"&amp;12Strona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showGridLines="0" defaultGridColor="0" view="pageBreakPreview" zoomScale="90" zoomScaleSheetLayoutView="90" colorId="15" workbookViewId="0" topLeftCell="A10">
      <selection activeCell="A1" sqref="A1"/>
    </sheetView>
  </sheetViews>
  <sheetFormatPr defaultColWidth="9.00390625" defaultRowHeight="12.75"/>
  <cols>
    <col min="1" max="1" width="6.875" style="139" customWidth="1"/>
    <col min="2" max="2" width="68.25390625" style="140" customWidth="1"/>
    <col min="3" max="3" width="13.875" style="141" customWidth="1"/>
    <col min="4" max="16384" width="11.625" style="142" customWidth="1"/>
  </cols>
  <sheetData>
    <row r="1" spans="1:3" ht="13.5" customHeight="1">
      <c r="A1" s="715" t="s">
        <v>450</v>
      </c>
      <c r="B1" s="715"/>
      <c r="C1" s="715"/>
    </row>
    <row r="2" spans="1:3" ht="13.5" customHeight="1">
      <c r="A2" s="735"/>
      <c r="B2" s="735"/>
      <c r="C2" s="735"/>
    </row>
    <row r="3" spans="1:3" ht="13.5" customHeight="1">
      <c r="A3" s="716" t="s">
        <v>451</v>
      </c>
      <c r="B3" s="716"/>
      <c r="C3" s="716"/>
    </row>
    <row r="4" spans="1:3" ht="15">
      <c r="A4" s="716"/>
      <c r="B4" s="716"/>
      <c r="C4" s="716"/>
    </row>
    <row r="5" ht="15.75">
      <c r="C5" s="143" t="s">
        <v>274</v>
      </c>
    </row>
    <row r="6" spans="1:3" s="147" customFormat="1" ht="33" customHeight="1">
      <c r="A6" s="144" t="s">
        <v>275</v>
      </c>
      <c r="B6" s="145" t="s">
        <v>276</v>
      </c>
      <c r="C6" s="146" t="s">
        <v>277</v>
      </c>
    </row>
    <row r="7" spans="1:3" ht="16.5">
      <c r="A7" s="33" t="s">
        <v>452</v>
      </c>
      <c r="B7" s="34" t="str">
        <f>'zał 7'!D9</f>
        <v>Rolnictwo i łowiectwo</v>
      </c>
      <c r="C7" s="37">
        <f>'zał 7'!E9</f>
        <v>13344.08</v>
      </c>
    </row>
    <row r="8" spans="1:3" ht="16.5">
      <c r="A8" s="33" t="s">
        <v>453</v>
      </c>
      <c r="B8" s="34" t="str">
        <f>'zał 7'!D12</f>
        <v>Wytwarzanie i zaopatrzenie w energię elektryczną, gaz i wodę </v>
      </c>
      <c r="C8" s="37">
        <f>'zał 7'!E12</f>
        <v>791200</v>
      </c>
    </row>
    <row r="9" spans="1:3" ht="16.5">
      <c r="A9" s="33" t="s">
        <v>278</v>
      </c>
      <c r="B9" s="34" t="str">
        <f>'zał 7'!D16</f>
        <v>Transport  i  łączność</v>
      </c>
      <c r="C9" s="37">
        <f>'zał 7'!E16</f>
        <v>10055341</v>
      </c>
    </row>
    <row r="10" spans="1:3" ht="16.5">
      <c r="A10" s="33" t="s">
        <v>279</v>
      </c>
      <c r="B10" s="34" t="str">
        <f>'zał 7'!D29</f>
        <v>Gospodarka  mieszkaniowa</v>
      </c>
      <c r="C10" s="37">
        <f>'zał 7'!E29</f>
        <v>275000</v>
      </c>
    </row>
    <row r="11" spans="1:3" ht="16.5">
      <c r="A11" s="33" t="s">
        <v>280</v>
      </c>
      <c r="B11" s="34" t="str">
        <f>'zał 7'!D38</f>
        <v>Działalność  usługowa</v>
      </c>
      <c r="C11" s="37">
        <f>'zał 7'!E38+'zał 9'!E9</f>
        <v>1694300</v>
      </c>
    </row>
    <row r="12" spans="1:3" ht="16.5">
      <c r="A12" s="33" t="s">
        <v>281</v>
      </c>
      <c r="B12" s="34" t="str">
        <f>'zał 7'!D49</f>
        <v>Administracja  publiczna</v>
      </c>
      <c r="C12" s="37">
        <f>'zał 7'!E49+'zał 8'!E9</f>
        <v>4770838.48086</v>
      </c>
    </row>
    <row r="13" spans="1:3" ht="16.5">
      <c r="A13" s="33" t="s">
        <v>454</v>
      </c>
      <c r="B13" s="34" t="str">
        <f>'zał 7'!D91</f>
        <v>Bezpieczeństwo publiczne  
i  ochrona  przeciwpożarowa</v>
      </c>
      <c r="C13" s="37">
        <f>'zał 7'!E91</f>
        <v>1602000</v>
      </c>
    </row>
    <row r="14" spans="1:3" ht="49.5">
      <c r="A14" s="33" t="s">
        <v>282</v>
      </c>
      <c r="B14" s="36" t="str">
        <f>'zał 7'!D105</f>
        <v>Dochody od osób prawnych,od osób fizycznych
i od innych jednostek nie posiadających
osobowości prawnej oraz wydatki związane
z ich poborem </v>
      </c>
      <c r="C14" s="37">
        <f>'zał 7'!E105</f>
        <v>63500</v>
      </c>
    </row>
    <row r="15" spans="1:3" ht="16.5">
      <c r="A15" s="33" t="s">
        <v>455</v>
      </c>
      <c r="B15" s="36" t="str">
        <f>'zał 7'!D109</f>
        <v>Obsługa  długu  publicznego</v>
      </c>
      <c r="C15" s="37">
        <f>'zał 7'!E109</f>
        <v>1025521</v>
      </c>
    </row>
    <row r="16" spans="1:3" ht="16.5">
      <c r="A16" s="33" t="s">
        <v>283</v>
      </c>
      <c r="B16" s="34" t="str">
        <f>'zał 7'!D114</f>
        <v>Różne  rozliczenia</v>
      </c>
      <c r="C16" s="37">
        <f>'zał 7'!E114</f>
        <v>506000</v>
      </c>
    </row>
    <row r="17" spans="1:3" ht="16.5">
      <c r="A17" s="33" t="s">
        <v>284</v>
      </c>
      <c r="B17" s="34" t="str">
        <f>'zał 7'!D119</f>
        <v>Oświata  i  wychowanie</v>
      </c>
      <c r="C17" s="37">
        <f>'zał 7'!E119</f>
        <v>20548696.322318997</v>
      </c>
    </row>
    <row r="18" spans="1:3" ht="16.5">
      <c r="A18" s="33" t="s">
        <v>456</v>
      </c>
      <c r="B18" s="34" t="str">
        <f>'zał 7'!D240</f>
        <v>Ochrona  zdrowia</v>
      </c>
      <c r="C18" s="37">
        <f>'zał 7'!E240</f>
        <v>330000</v>
      </c>
    </row>
    <row r="19" spans="1:3" ht="16.5">
      <c r="A19" s="33" t="s">
        <v>285</v>
      </c>
      <c r="B19" s="34" t="str">
        <f>'zał 7'!D260</f>
        <v>Pomoc społeczna</v>
      </c>
      <c r="C19" s="37">
        <f>'zał 7'!E260+'zał 8'!E15</f>
        <v>9013525.652</v>
      </c>
    </row>
    <row r="20" spans="1:3" ht="16.5">
      <c r="A20" s="33" t="s">
        <v>457</v>
      </c>
      <c r="B20" s="34" t="str">
        <f>'zał 7'!D323</f>
        <v>Edukacyjna  opieka  wychowawcza</v>
      </c>
      <c r="C20" s="37">
        <f>'zał 7'!E323</f>
        <v>1000</v>
      </c>
    </row>
    <row r="21" spans="1:3" ht="16.5">
      <c r="A21" s="33" t="s">
        <v>286</v>
      </c>
      <c r="B21" s="34" t="str">
        <f>'zał 7'!D327</f>
        <v>Gospodarka  komunalna  i  ochrona  środowiska</v>
      </c>
      <c r="C21" s="37">
        <f>'zał 7'!E327</f>
        <v>1939203</v>
      </c>
    </row>
    <row r="22" spans="1:3" ht="16.5">
      <c r="A22" s="33" t="s">
        <v>287</v>
      </c>
      <c r="B22" s="34" t="str">
        <f>'zał 7'!D351</f>
        <v>Kultura  i  ochrona  dziedzictwa  narodowego </v>
      </c>
      <c r="C22" s="37">
        <f>'zał 7'!E351</f>
        <v>1936115</v>
      </c>
    </row>
    <row r="23" spans="1:3" ht="16.5">
      <c r="A23" s="33" t="s">
        <v>288</v>
      </c>
      <c r="B23" s="34" t="str">
        <f>'zał 7'!D368</f>
        <v>Kultura  fizyczna  i  sport</v>
      </c>
      <c r="C23" s="37">
        <f>'zał 7'!E368</f>
        <v>2043711</v>
      </c>
    </row>
    <row r="24" spans="1:3" s="148" customFormat="1" ht="16.5" customHeight="1">
      <c r="A24" s="717" t="s">
        <v>289</v>
      </c>
      <c r="B24" s="717"/>
      <c r="C24" s="38">
        <f>SUM(C7:C23)</f>
        <v>56609295.535179</v>
      </c>
    </row>
    <row r="25" spans="1:3" ht="16.5">
      <c r="A25" s="40" t="s">
        <v>290</v>
      </c>
      <c r="B25" s="34"/>
      <c r="C25" s="35">
        <f>C24-C26-C27</f>
        <v>0</v>
      </c>
    </row>
    <row r="26" spans="1:3" ht="16.5">
      <c r="A26" s="40"/>
      <c r="B26" s="34" t="s">
        <v>458</v>
      </c>
      <c r="C26" s="35">
        <f>'zał 7'!F380+'zał 8'!E64+'zał 9'!E9</f>
        <v>41316002.535179</v>
      </c>
    </row>
    <row r="27" spans="1:3" ht="16.5">
      <c r="A27" s="40"/>
      <c r="B27" s="34" t="s">
        <v>459</v>
      </c>
      <c r="C27" s="35">
        <f>'zał 7'!O380</f>
        <v>15293293</v>
      </c>
    </row>
  </sheetData>
  <mergeCells count="4">
    <mergeCell ref="A1:C1"/>
    <mergeCell ref="A2:C2"/>
    <mergeCell ref="A3:C4"/>
    <mergeCell ref="A24:B24"/>
  </mergeCells>
  <printOptions horizontalCentered="1"/>
  <pageMargins left="0.5902777777777778" right="0.5902777777777778" top="0.5902777777777778" bottom="0.7569444444444444" header="0.5118055555555556" footer="0.5902777777777778"/>
  <pageSetup horizontalDpi="300" verticalDpi="300" orientation="portrait" paperSize="9" r:id="rId1"/>
  <headerFooter alignWithMargins="0">
    <oddFooter>&amp;C&amp;"Times New Roman,Normalny"&amp;12Strona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5"/>
  <sheetViews>
    <sheetView showGridLines="0" defaultGridColor="0" view="pageBreakPreview" zoomScale="90" zoomScaleSheetLayoutView="90" colorId="15" workbookViewId="0" topLeftCell="A364">
      <selection activeCell="G370" sqref="G370"/>
    </sheetView>
  </sheetViews>
  <sheetFormatPr defaultColWidth="9.00390625" defaultRowHeight="12.75"/>
  <cols>
    <col min="1" max="1" width="5.00390625" style="149" customWidth="1"/>
    <col min="2" max="2" width="7.875" style="149" customWidth="1"/>
    <col min="3" max="3" width="6.00390625" style="150" customWidth="1"/>
    <col min="4" max="4" width="42.375" style="151" customWidth="1"/>
    <col min="5" max="7" width="11.75390625" style="152" customWidth="1"/>
    <col min="8" max="8" width="10.625" style="152" customWidth="1"/>
    <col min="9" max="9" width="11.625" style="152" customWidth="1"/>
    <col min="10" max="10" width="10.625" style="152" customWidth="1"/>
    <col min="11" max="11" width="11.625" style="152" customWidth="1"/>
    <col min="12" max="12" width="9.625" style="152" customWidth="1"/>
    <col min="13" max="13" width="10.25390625" style="150" customWidth="1"/>
    <col min="14" max="14" width="8.25390625" style="150" customWidth="1"/>
    <col min="15" max="15" width="11.75390625" style="152" customWidth="1"/>
    <col min="16" max="16" width="16.75390625" style="153" customWidth="1"/>
    <col min="17" max="16384" width="9.00390625" style="153" customWidth="1"/>
  </cols>
  <sheetData>
    <row r="1" spans="1:15" ht="15.75" customHeight="1">
      <c r="A1" s="736" t="s">
        <v>460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5" s="154" customFormat="1" ht="35.25" customHeight="1">
      <c r="A2" s="737" t="s">
        <v>461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</row>
    <row r="3" spans="1:15" ht="15.75" customHeight="1">
      <c r="A3" s="738" t="s">
        <v>462</v>
      </c>
      <c r="B3" s="738"/>
      <c r="C3" s="738"/>
      <c r="D3" s="738"/>
      <c r="E3" s="155"/>
      <c r="F3" s="156"/>
      <c r="G3" s="156"/>
      <c r="H3" s="156"/>
      <c r="I3" s="156"/>
      <c r="J3" s="157"/>
      <c r="K3" s="157"/>
      <c r="L3" s="157"/>
      <c r="O3" s="158" t="s">
        <v>274</v>
      </c>
    </row>
    <row r="4" spans="1:15" ht="15" customHeight="1">
      <c r="A4" s="739" t="s">
        <v>275</v>
      </c>
      <c r="B4" s="739" t="s">
        <v>296</v>
      </c>
      <c r="C4" s="739" t="s">
        <v>297</v>
      </c>
      <c r="D4" s="739" t="s">
        <v>437</v>
      </c>
      <c r="E4" s="740" t="s">
        <v>463</v>
      </c>
      <c r="F4" s="741" t="s">
        <v>300</v>
      </c>
      <c r="G4" s="741"/>
      <c r="H4" s="741"/>
      <c r="I4" s="741"/>
      <c r="J4" s="741"/>
      <c r="K4" s="741"/>
      <c r="L4" s="741"/>
      <c r="M4" s="741"/>
      <c r="N4" s="741"/>
      <c r="O4" s="741"/>
    </row>
    <row r="5" spans="1:15" s="160" customFormat="1" ht="12" customHeight="1">
      <c r="A5" s="739"/>
      <c r="B5" s="739"/>
      <c r="C5" s="739"/>
      <c r="D5" s="739"/>
      <c r="E5" s="740"/>
      <c r="F5" s="742" t="s">
        <v>464</v>
      </c>
      <c r="G5" s="742" t="s">
        <v>216</v>
      </c>
      <c r="H5" s="742"/>
      <c r="I5" s="742"/>
      <c r="J5" s="742"/>
      <c r="K5" s="742"/>
      <c r="L5" s="742"/>
      <c r="M5" s="742"/>
      <c r="N5" s="742"/>
      <c r="O5" s="742" t="s">
        <v>465</v>
      </c>
    </row>
    <row r="6" spans="1:15" s="160" customFormat="1" ht="12.75" customHeight="1">
      <c r="A6" s="739"/>
      <c r="B6" s="739"/>
      <c r="C6" s="739"/>
      <c r="D6" s="739"/>
      <c r="E6" s="740"/>
      <c r="F6" s="742"/>
      <c r="G6" s="742" t="s">
        <v>466</v>
      </c>
      <c r="H6" s="742"/>
      <c r="I6" s="742"/>
      <c r="J6" s="742" t="s">
        <v>467</v>
      </c>
      <c r="K6" s="742" t="s">
        <v>468</v>
      </c>
      <c r="L6" s="743" t="s">
        <v>469</v>
      </c>
      <c r="M6" s="742" t="s">
        <v>470</v>
      </c>
      <c r="N6" s="742" t="s">
        <v>471</v>
      </c>
      <c r="O6" s="742"/>
    </row>
    <row r="7" spans="1:15" s="162" customFormat="1" ht="262.5" customHeight="1">
      <c r="A7" s="739"/>
      <c r="B7" s="739"/>
      <c r="C7" s="739"/>
      <c r="D7" s="739"/>
      <c r="E7" s="740"/>
      <c r="F7" s="742"/>
      <c r="G7" s="159" t="s">
        <v>472</v>
      </c>
      <c r="H7" s="159" t="s">
        <v>473</v>
      </c>
      <c r="I7" s="161" t="s">
        <v>474</v>
      </c>
      <c r="J7" s="742"/>
      <c r="K7" s="742"/>
      <c r="L7" s="743"/>
      <c r="M7" s="742"/>
      <c r="N7" s="742"/>
      <c r="O7" s="742"/>
    </row>
    <row r="8" spans="1:15" s="165" customFormat="1" ht="12.75">
      <c r="A8" s="106">
        <v>1</v>
      </c>
      <c r="B8" s="106">
        <v>2</v>
      </c>
      <c r="C8" s="107">
        <v>3</v>
      </c>
      <c r="D8" s="107">
        <v>4</v>
      </c>
      <c r="E8" s="163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  <c r="O8" s="164">
        <v>15</v>
      </c>
    </row>
    <row r="9" spans="1:15" ht="15.75">
      <c r="A9" s="166" t="s">
        <v>452</v>
      </c>
      <c r="B9" s="166"/>
      <c r="C9" s="64"/>
      <c r="D9" s="64" t="s">
        <v>475</v>
      </c>
      <c r="E9" s="93">
        <f aca="true" t="shared" si="0" ref="E9:O10">E10</f>
        <v>13344.08</v>
      </c>
      <c r="F9" s="93">
        <f t="shared" si="0"/>
        <v>13344.08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0</v>
      </c>
      <c r="O9" s="93">
        <f t="shared" si="0"/>
        <v>0</v>
      </c>
    </row>
    <row r="10" spans="1:15" ht="15.75">
      <c r="A10" s="91"/>
      <c r="B10" s="91" t="s">
        <v>476</v>
      </c>
      <c r="C10" s="94"/>
      <c r="D10" s="167" t="s">
        <v>477</v>
      </c>
      <c r="E10" s="88">
        <f t="shared" si="0"/>
        <v>13344.08</v>
      </c>
      <c r="F10" s="88">
        <f t="shared" si="0"/>
        <v>13344.08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  <c r="K10" s="88">
        <f t="shared" si="0"/>
        <v>0</v>
      </c>
      <c r="L10" s="88">
        <f t="shared" si="0"/>
        <v>0</v>
      </c>
      <c r="M10" s="88">
        <f t="shared" si="0"/>
        <v>0</v>
      </c>
      <c r="N10" s="88">
        <f t="shared" si="0"/>
        <v>0</v>
      </c>
      <c r="O10" s="88">
        <f t="shared" si="0"/>
        <v>0</v>
      </c>
    </row>
    <row r="11" spans="1:15" ht="47.25">
      <c r="A11" s="94"/>
      <c r="B11" s="168" t="s">
        <v>340</v>
      </c>
      <c r="C11" s="95">
        <v>2850</v>
      </c>
      <c r="D11" s="1" t="s">
        <v>478</v>
      </c>
      <c r="E11" s="96">
        <f>F11+O11</f>
        <v>13344.08</v>
      </c>
      <c r="F11" s="96">
        <f>('zał 2'!E51+'zał 2'!E41+5000)*0.02</f>
        <v>13344.08</v>
      </c>
      <c r="G11" s="71"/>
      <c r="H11" s="71"/>
      <c r="I11" s="71"/>
      <c r="J11" s="71"/>
      <c r="K11" s="71"/>
      <c r="L11" s="71"/>
      <c r="M11" s="169"/>
      <c r="N11" s="169"/>
      <c r="O11" s="71"/>
    </row>
    <row r="12" spans="1:15" ht="31.5">
      <c r="A12" s="64">
        <v>400</v>
      </c>
      <c r="B12" s="64"/>
      <c r="C12" s="64"/>
      <c r="D12" s="64" t="s">
        <v>479</v>
      </c>
      <c r="E12" s="93">
        <f aca="true" t="shared" si="1" ref="E12:O12">E13</f>
        <v>791200</v>
      </c>
      <c r="F12" s="93">
        <f t="shared" si="1"/>
        <v>8200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0</v>
      </c>
      <c r="N12" s="93">
        <f t="shared" si="1"/>
        <v>0</v>
      </c>
      <c r="O12" s="93">
        <f t="shared" si="1"/>
        <v>783000</v>
      </c>
    </row>
    <row r="13" spans="1:15" ht="15.75">
      <c r="A13" s="94"/>
      <c r="B13" s="94">
        <v>40002</v>
      </c>
      <c r="C13" s="94"/>
      <c r="D13" s="167" t="s">
        <v>480</v>
      </c>
      <c r="E13" s="88">
        <f aca="true" t="shared" si="2" ref="E13:O13">E14+E15</f>
        <v>791200</v>
      </c>
      <c r="F13" s="88">
        <f t="shared" si="2"/>
        <v>8200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  <c r="N13" s="88">
        <f t="shared" si="2"/>
        <v>0</v>
      </c>
      <c r="O13" s="88">
        <f t="shared" si="2"/>
        <v>783000</v>
      </c>
    </row>
    <row r="14" spans="1:15" ht="15.75">
      <c r="A14" s="94"/>
      <c r="B14" s="95"/>
      <c r="C14" s="95">
        <v>4300</v>
      </c>
      <c r="D14" s="1" t="s">
        <v>481</v>
      </c>
      <c r="E14" s="96">
        <f>F14+O14</f>
        <v>8200</v>
      </c>
      <c r="F14" s="96">
        <v>8200</v>
      </c>
      <c r="G14" s="71"/>
      <c r="H14" s="71"/>
      <c r="I14" s="71"/>
      <c r="J14" s="71"/>
      <c r="K14" s="71"/>
      <c r="L14" s="71"/>
      <c r="M14" s="169"/>
      <c r="N14" s="169"/>
      <c r="O14" s="71"/>
    </row>
    <row r="15" spans="1:15" ht="31.5">
      <c r="A15" s="94"/>
      <c r="B15" s="95"/>
      <c r="C15" s="95">
        <v>6050</v>
      </c>
      <c r="D15" s="1" t="s">
        <v>482</v>
      </c>
      <c r="E15" s="96">
        <f>F15+O15</f>
        <v>783000</v>
      </c>
      <c r="F15" s="71"/>
      <c r="G15" s="71"/>
      <c r="H15" s="71"/>
      <c r="I15" s="71"/>
      <c r="J15" s="71"/>
      <c r="K15" s="71"/>
      <c r="L15" s="71"/>
      <c r="M15" s="169"/>
      <c r="N15" s="169"/>
      <c r="O15" s="96">
        <f>'zał 11'!E10</f>
        <v>783000</v>
      </c>
    </row>
    <row r="16" spans="1:15" ht="15.75">
      <c r="A16" s="64">
        <v>600</v>
      </c>
      <c r="B16" s="64"/>
      <c r="C16" s="64"/>
      <c r="D16" s="64" t="s">
        <v>309</v>
      </c>
      <c r="E16" s="93">
        <f aca="true" t="shared" si="3" ref="E16:O16">E19+E26+E17</f>
        <v>10055341</v>
      </c>
      <c r="F16" s="93">
        <f t="shared" si="3"/>
        <v>664046</v>
      </c>
      <c r="G16" s="93">
        <f t="shared" si="3"/>
        <v>0</v>
      </c>
      <c r="H16" s="93">
        <f t="shared" si="3"/>
        <v>0</v>
      </c>
      <c r="I16" s="93">
        <f t="shared" si="3"/>
        <v>0</v>
      </c>
      <c r="J16" s="93">
        <f t="shared" si="3"/>
        <v>0</v>
      </c>
      <c r="K16" s="93">
        <f t="shared" si="3"/>
        <v>0</v>
      </c>
      <c r="L16" s="93">
        <f t="shared" si="3"/>
        <v>0</v>
      </c>
      <c r="M16" s="93">
        <f t="shared" si="3"/>
        <v>0</v>
      </c>
      <c r="N16" s="93">
        <f t="shared" si="3"/>
        <v>0</v>
      </c>
      <c r="O16" s="93">
        <f t="shared" si="3"/>
        <v>9391295</v>
      </c>
    </row>
    <row r="17" spans="1:15" ht="15.75">
      <c r="A17" s="170"/>
      <c r="B17" s="170">
        <v>60013</v>
      </c>
      <c r="C17" s="170"/>
      <c r="D17" s="171" t="s">
        <v>483</v>
      </c>
      <c r="E17" s="172">
        <f aca="true" t="shared" si="4" ref="E17:O17">E18</f>
        <v>2881295</v>
      </c>
      <c r="F17" s="172">
        <f t="shared" si="4"/>
        <v>0</v>
      </c>
      <c r="G17" s="172">
        <f t="shared" si="4"/>
        <v>0</v>
      </c>
      <c r="H17" s="172">
        <f t="shared" si="4"/>
        <v>0</v>
      </c>
      <c r="I17" s="172">
        <f t="shared" si="4"/>
        <v>0</v>
      </c>
      <c r="J17" s="172">
        <f t="shared" si="4"/>
        <v>0</v>
      </c>
      <c r="K17" s="172">
        <f t="shared" si="4"/>
        <v>0</v>
      </c>
      <c r="L17" s="172">
        <f t="shared" si="4"/>
        <v>0</v>
      </c>
      <c r="M17" s="172">
        <f t="shared" si="4"/>
        <v>0</v>
      </c>
      <c r="N17" s="172">
        <f t="shared" si="4"/>
        <v>0</v>
      </c>
      <c r="O17" s="172">
        <f t="shared" si="4"/>
        <v>2881295</v>
      </c>
    </row>
    <row r="18" spans="1:15" ht="78.75">
      <c r="A18" s="94"/>
      <c r="B18" s="95"/>
      <c r="C18" s="95">
        <v>6630</v>
      </c>
      <c r="D18" s="173" t="s">
        <v>484</v>
      </c>
      <c r="E18" s="96">
        <f>F18+O18</f>
        <v>2881295</v>
      </c>
      <c r="F18" s="71"/>
      <c r="G18" s="71"/>
      <c r="H18" s="71"/>
      <c r="I18" s="71"/>
      <c r="J18" s="71"/>
      <c r="K18" s="71"/>
      <c r="L18" s="71"/>
      <c r="M18" s="169"/>
      <c r="N18" s="169"/>
      <c r="O18" s="96">
        <f>'zał 11'!E16</f>
        <v>2881295</v>
      </c>
    </row>
    <row r="19" spans="1:15" ht="15.75">
      <c r="A19" s="94"/>
      <c r="B19" s="94">
        <v>60016</v>
      </c>
      <c r="C19" s="94"/>
      <c r="D19" s="66" t="s">
        <v>310</v>
      </c>
      <c r="E19" s="88">
        <f aca="true" t="shared" si="5" ref="E19:O19">SUM(E20:E25)</f>
        <v>7166346</v>
      </c>
      <c r="F19" s="88">
        <f t="shared" si="5"/>
        <v>656346</v>
      </c>
      <c r="G19" s="88">
        <f t="shared" si="5"/>
        <v>0</v>
      </c>
      <c r="H19" s="88">
        <f t="shared" si="5"/>
        <v>0</v>
      </c>
      <c r="I19" s="88">
        <f t="shared" si="5"/>
        <v>0</v>
      </c>
      <c r="J19" s="88">
        <f t="shared" si="5"/>
        <v>0</v>
      </c>
      <c r="K19" s="88">
        <f t="shared" si="5"/>
        <v>0</v>
      </c>
      <c r="L19" s="88">
        <f t="shared" si="5"/>
        <v>0</v>
      </c>
      <c r="M19" s="88">
        <f t="shared" si="5"/>
        <v>0</v>
      </c>
      <c r="N19" s="88">
        <f t="shared" si="5"/>
        <v>0</v>
      </c>
      <c r="O19" s="88">
        <f t="shared" si="5"/>
        <v>6510000</v>
      </c>
    </row>
    <row r="20" spans="1:15" ht="15.75">
      <c r="A20" s="94"/>
      <c r="B20" s="95"/>
      <c r="C20" s="95">
        <v>4210</v>
      </c>
      <c r="D20" s="1" t="s">
        <v>485</v>
      </c>
      <c r="E20" s="96">
        <f aca="true" t="shared" si="6" ref="E20:E25">F20+O20</f>
        <v>65000</v>
      </c>
      <c r="F20" s="96">
        <f>60000+5000</f>
        <v>65000</v>
      </c>
      <c r="G20" s="71"/>
      <c r="H20" s="71"/>
      <c r="I20" s="71"/>
      <c r="J20" s="71"/>
      <c r="K20" s="71"/>
      <c r="L20" s="71"/>
      <c r="M20" s="169"/>
      <c r="N20" s="169"/>
      <c r="O20" s="71"/>
    </row>
    <row r="21" spans="1:15" ht="15.75">
      <c r="A21" s="94"/>
      <c r="B21" s="95"/>
      <c r="C21" s="95">
        <v>4270</v>
      </c>
      <c r="D21" s="1" t="s">
        <v>486</v>
      </c>
      <c r="E21" s="96">
        <f t="shared" si="6"/>
        <v>481346</v>
      </c>
      <c r="F21" s="96">
        <f>475000+1136+5210</f>
        <v>481346</v>
      </c>
      <c r="G21" s="71"/>
      <c r="H21" s="71"/>
      <c r="I21" s="71"/>
      <c r="J21" s="71"/>
      <c r="K21" s="71"/>
      <c r="L21" s="71"/>
      <c r="M21" s="169"/>
      <c r="N21" s="169"/>
      <c r="O21" s="71"/>
    </row>
    <row r="22" spans="1:15" ht="15.75">
      <c r="A22" s="94"/>
      <c r="B22" s="95"/>
      <c r="C22" s="95">
        <v>4300</v>
      </c>
      <c r="D22" s="1" t="s">
        <v>481</v>
      </c>
      <c r="E22" s="96">
        <f t="shared" si="6"/>
        <v>110000</v>
      </c>
      <c r="F22" s="96">
        <v>110000</v>
      </c>
      <c r="G22" s="71"/>
      <c r="H22" s="71"/>
      <c r="I22" s="71"/>
      <c r="J22" s="71"/>
      <c r="K22" s="71"/>
      <c r="L22" s="71"/>
      <c r="M22" s="169"/>
      <c r="N22" s="169"/>
      <c r="O22" s="71"/>
    </row>
    <row r="23" spans="1:15" ht="31.5">
      <c r="A23" s="94"/>
      <c r="B23" s="95"/>
      <c r="C23" s="95">
        <v>6050</v>
      </c>
      <c r="D23" s="1" t="s">
        <v>487</v>
      </c>
      <c r="E23" s="96">
        <f t="shared" si="6"/>
        <v>4510000</v>
      </c>
      <c r="F23" s="71"/>
      <c r="G23" s="71"/>
      <c r="H23" s="71"/>
      <c r="I23" s="71"/>
      <c r="J23" s="71"/>
      <c r="K23" s="71"/>
      <c r="L23" s="71"/>
      <c r="M23" s="169"/>
      <c r="N23" s="169"/>
      <c r="O23" s="96">
        <f>'zał 11'!E19</f>
        <v>4510000</v>
      </c>
    </row>
    <row r="24" spans="1:15" ht="63">
      <c r="A24" s="94"/>
      <c r="B24" s="95"/>
      <c r="C24" s="95">
        <v>6628</v>
      </c>
      <c r="D24" s="173" t="s">
        <v>488</v>
      </c>
      <c r="E24" s="96">
        <f t="shared" si="6"/>
        <v>978250</v>
      </c>
      <c r="F24" s="71"/>
      <c r="G24" s="71"/>
      <c r="H24" s="71"/>
      <c r="I24" s="71"/>
      <c r="J24" s="71"/>
      <c r="K24" s="71"/>
      <c r="L24" s="71"/>
      <c r="M24" s="169"/>
      <c r="N24" s="169"/>
      <c r="O24" s="96">
        <f>'zał 11'!E29</f>
        <v>978250</v>
      </c>
    </row>
    <row r="25" spans="1:15" ht="63">
      <c r="A25" s="94"/>
      <c r="B25" s="95"/>
      <c r="C25" s="95">
        <v>6629</v>
      </c>
      <c r="D25" s="173" t="s">
        <v>488</v>
      </c>
      <c r="E25" s="96">
        <f t="shared" si="6"/>
        <v>1021750</v>
      </c>
      <c r="F25" s="71"/>
      <c r="G25" s="71"/>
      <c r="H25" s="71"/>
      <c r="I25" s="71"/>
      <c r="J25" s="71"/>
      <c r="K25" s="71"/>
      <c r="L25" s="71"/>
      <c r="M25" s="169"/>
      <c r="N25" s="169"/>
      <c r="O25" s="96">
        <f>'zał 11'!E30</f>
        <v>1021750</v>
      </c>
    </row>
    <row r="26" spans="1:15" ht="15.75">
      <c r="A26" s="94"/>
      <c r="B26" s="94">
        <v>60095</v>
      </c>
      <c r="C26" s="94"/>
      <c r="D26" s="66" t="s">
        <v>306</v>
      </c>
      <c r="E26" s="88">
        <f aca="true" t="shared" si="7" ref="E26:O26">SUM(E27:E28)</f>
        <v>7700</v>
      </c>
      <c r="F26" s="88">
        <f t="shared" si="7"/>
        <v>7700</v>
      </c>
      <c r="G26" s="88">
        <f t="shared" si="7"/>
        <v>0</v>
      </c>
      <c r="H26" s="88">
        <f t="shared" si="7"/>
        <v>0</v>
      </c>
      <c r="I26" s="88">
        <f t="shared" si="7"/>
        <v>0</v>
      </c>
      <c r="J26" s="88">
        <f t="shared" si="7"/>
        <v>0</v>
      </c>
      <c r="K26" s="88">
        <f t="shared" si="7"/>
        <v>0</v>
      </c>
      <c r="L26" s="88">
        <f t="shared" si="7"/>
        <v>0</v>
      </c>
      <c r="M26" s="88">
        <f t="shared" si="7"/>
        <v>0</v>
      </c>
      <c r="N26" s="88">
        <f t="shared" si="7"/>
        <v>0</v>
      </c>
      <c r="O26" s="88">
        <f t="shared" si="7"/>
        <v>0</v>
      </c>
    </row>
    <row r="27" spans="1:15" ht="15.75">
      <c r="A27" s="94"/>
      <c r="B27" s="94"/>
      <c r="C27" s="95">
        <v>4210</v>
      </c>
      <c r="D27" s="1" t="s">
        <v>485</v>
      </c>
      <c r="E27" s="96">
        <f>F27+O27</f>
        <v>700</v>
      </c>
      <c r="F27" s="96">
        <v>700</v>
      </c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5.75">
      <c r="A28" s="94"/>
      <c r="B28" s="95"/>
      <c r="C28" s="95">
        <v>4270</v>
      </c>
      <c r="D28" s="1" t="s">
        <v>489</v>
      </c>
      <c r="E28" s="96">
        <f>F28+O28</f>
        <v>7000</v>
      </c>
      <c r="F28" s="96">
        <f>6000+1000</f>
        <v>7000</v>
      </c>
      <c r="G28" s="71"/>
      <c r="H28" s="71"/>
      <c r="I28" s="71"/>
      <c r="J28" s="71"/>
      <c r="K28" s="71"/>
      <c r="L28" s="71"/>
      <c r="M28" s="169"/>
      <c r="N28" s="169"/>
      <c r="O28" s="71"/>
    </row>
    <row r="29" spans="1:15" ht="15.75">
      <c r="A29" s="64">
        <v>700</v>
      </c>
      <c r="B29" s="64"/>
      <c r="C29" s="64"/>
      <c r="D29" s="64" t="s">
        <v>490</v>
      </c>
      <c r="E29" s="93">
        <f aca="true" t="shared" si="8" ref="E29:O29">E30+E35</f>
        <v>275000</v>
      </c>
      <c r="F29" s="93">
        <f t="shared" si="8"/>
        <v>275000</v>
      </c>
      <c r="G29" s="93">
        <f t="shared" si="8"/>
        <v>0</v>
      </c>
      <c r="H29" s="93">
        <f t="shared" si="8"/>
        <v>0</v>
      </c>
      <c r="I29" s="93">
        <f t="shared" si="8"/>
        <v>0</v>
      </c>
      <c r="J29" s="93">
        <f t="shared" si="8"/>
        <v>0</v>
      </c>
      <c r="K29" s="93">
        <f t="shared" si="8"/>
        <v>0</v>
      </c>
      <c r="L29" s="93">
        <f t="shared" si="8"/>
        <v>0</v>
      </c>
      <c r="M29" s="93">
        <f t="shared" si="8"/>
        <v>0</v>
      </c>
      <c r="N29" s="93">
        <f t="shared" si="8"/>
        <v>0</v>
      </c>
      <c r="O29" s="93">
        <f t="shared" si="8"/>
        <v>0</v>
      </c>
    </row>
    <row r="30" spans="1:15" ht="15.75">
      <c r="A30" s="94"/>
      <c r="B30" s="94">
        <v>70005</v>
      </c>
      <c r="C30" s="94"/>
      <c r="D30" s="66" t="s">
        <v>316</v>
      </c>
      <c r="E30" s="88">
        <f aca="true" t="shared" si="9" ref="E30:O30">SUM(E31:E34)</f>
        <v>125000</v>
      </c>
      <c r="F30" s="88">
        <f t="shared" si="9"/>
        <v>125000</v>
      </c>
      <c r="G30" s="88">
        <f t="shared" si="9"/>
        <v>0</v>
      </c>
      <c r="H30" s="88">
        <f t="shared" si="9"/>
        <v>0</v>
      </c>
      <c r="I30" s="88">
        <f t="shared" si="9"/>
        <v>0</v>
      </c>
      <c r="J30" s="88">
        <f t="shared" si="9"/>
        <v>0</v>
      </c>
      <c r="K30" s="88">
        <f t="shared" si="9"/>
        <v>0</v>
      </c>
      <c r="L30" s="88">
        <f t="shared" si="9"/>
        <v>0</v>
      </c>
      <c r="M30" s="88">
        <f t="shared" si="9"/>
        <v>0</v>
      </c>
      <c r="N30" s="88">
        <f t="shared" si="9"/>
        <v>0</v>
      </c>
      <c r="O30" s="88">
        <f t="shared" si="9"/>
        <v>0</v>
      </c>
    </row>
    <row r="31" spans="1:15" ht="15.75">
      <c r="A31" s="94"/>
      <c r="B31" s="95"/>
      <c r="C31" s="95">
        <v>4270</v>
      </c>
      <c r="D31" s="1" t="s">
        <v>489</v>
      </c>
      <c r="E31" s="96">
        <f>F31+O31</f>
        <v>30000</v>
      </c>
      <c r="F31" s="96">
        <v>30000</v>
      </c>
      <c r="G31" s="71"/>
      <c r="H31" s="71"/>
      <c r="I31" s="71"/>
      <c r="J31" s="71"/>
      <c r="K31" s="71"/>
      <c r="L31" s="71"/>
      <c r="M31" s="169"/>
      <c r="N31" s="169"/>
      <c r="O31" s="71"/>
    </row>
    <row r="32" spans="1:15" ht="15.75">
      <c r="A32" s="94"/>
      <c r="B32" s="95"/>
      <c r="C32" s="95">
        <v>4300</v>
      </c>
      <c r="D32" s="1" t="s">
        <v>481</v>
      </c>
      <c r="E32" s="96">
        <f>F32+O32</f>
        <v>88000</v>
      </c>
      <c r="F32" s="96">
        <v>88000</v>
      </c>
      <c r="G32" s="71"/>
      <c r="H32" s="71"/>
      <c r="I32" s="71"/>
      <c r="J32" s="71"/>
      <c r="K32" s="71"/>
      <c r="L32" s="71"/>
      <c r="M32" s="169"/>
      <c r="N32" s="169"/>
      <c r="O32" s="71"/>
    </row>
    <row r="33" spans="1:15" ht="15.75">
      <c r="A33" s="95"/>
      <c r="B33" s="95"/>
      <c r="C33" s="95">
        <v>4430</v>
      </c>
      <c r="D33" s="1" t="s">
        <v>491</v>
      </c>
      <c r="E33" s="96">
        <f>F33+O33</f>
        <v>7000</v>
      </c>
      <c r="F33" s="96">
        <v>7000</v>
      </c>
      <c r="G33" s="71"/>
      <c r="H33" s="71"/>
      <c r="I33" s="96"/>
      <c r="J33" s="71"/>
      <c r="K33" s="71"/>
      <c r="L33" s="71"/>
      <c r="M33" s="169"/>
      <c r="N33" s="169"/>
      <c r="O33" s="71"/>
    </row>
    <row r="34" spans="1:15" ht="31.5">
      <c r="A34" s="94"/>
      <c r="B34" s="95"/>
      <c r="C34" s="95">
        <v>6050</v>
      </c>
      <c r="D34" s="1" t="s">
        <v>487</v>
      </c>
      <c r="E34" s="96">
        <f>F34+O34</f>
        <v>0</v>
      </c>
      <c r="F34" s="71"/>
      <c r="G34" s="71"/>
      <c r="H34" s="71"/>
      <c r="I34" s="71"/>
      <c r="J34" s="71"/>
      <c r="K34" s="71"/>
      <c r="L34" s="71"/>
      <c r="M34" s="169"/>
      <c r="N34" s="169"/>
      <c r="O34" s="96"/>
    </row>
    <row r="35" spans="1:15" ht="15.75">
      <c r="A35" s="94"/>
      <c r="B35" s="94">
        <v>70021</v>
      </c>
      <c r="C35" s="94"/>
      <c r="D35" s="66" t="s">
        <v>492</v>
      </c>
      <c r="E35" s="88">
        <f aca="true" t="shared" si="10" ref="E35:O35">SUM(E36:E37)</f>
        <v>150000</v>
      </c>
      <c r="F35" s="88">
        <f t="shared" si="10"/>
        <v>150000</v>
      </c>
      <c r="G35" s="88">
        <f t="shared" si="10"/>
        <v>0</v>
      </c>
      <c r="H35" s="88">
        <f t="shared" si="10"/>
        <v>0</v>
      </c>
      <c r="I35" s="88">
        <f t="shared" si="10"/>
        <v>0</v>
      </c>
      <c r="J35" s="88">
        <f t="shared" si="10"/>
        <v>0</v>
      </c>
      <c r="K35" s="88">
        <f t="shared" si="10"/>
        <v>0</v>
      </c>
      <c r="L35" s="88">
        <f t="shared" si="10"/>
        <v>0</v>
      </c>
      <c r="M35" s="88">
        <f t="shared" si="10"/>
        <v>0</v>
      </c>
      <c r="N35" s="88">
        <f t="shared" si="10"/>
        <v>0</v>
      </c>
      <c r="O35" s="88">
        <f t="shared" si="10"/>
        <v>0</v>
      </c>
    </row>
    <row r="36" spans="1:15" ht="15.75">
      <c r="A36" s="94"/>
      <c r="B36" s="95"/>
      <c r="C36" s="95">
        <v>4270</v>
      </c>
      <c r="D36" s="1" t="s">
        <v>489</v>
      </c>
      <c r="E36" s="96">
        <f>F36+O36</f>
        <v>0</v>
      </c>
      <c r="F36" s="96"/>
      <c r="G36" s="71"/>
      <c r="H36" s="71"/>
      <c r="I36" s="71"/>
      <c r="J36" s="71"/>
      <c r="K36" s="71"/>
      <c r="L36" s="71"/>
      <c r="M36" s="169"/>
      <c r="N36" s="169"/>
      <c r="O36" s="71"/>
    </row>
    <row r="37" spans="1:15" ht="15.75">
      <c r="A37" s="94"/>
      <c r="B37" s="95"/>
      <c r="C37" s="95">
        <v>4300</v>
      </c>
      <c r="D37" s="1" t="s">
        <v>481</v>
      </c>
      <c r="E37" s="96">
        <f>F37+O37</f>
        <v>150000</v>
      </c>
      <c r="F37" s="96">
        <f>150000-F36</f>
        <v>150000</v>
      </c>
      <c r="G37" s="71"/>
      <c r="H37" s="71"/>
      <c r="I37" s="71"/>
      <c r="J37" s="71"/>
      <c r="K37" s="71"/>
      <c r="L37" s="71"/>
      <c r="M37" s="169"/>
      <c r="N37" s="169"/>
      <c r="O37" s="71"/>
    </row>
    <row r="38" spans="1:15" ht="15.75">
      <c r="A38" s="64">
        <v>710</v>
      </c>
      <c r="B38" s="64"/>
      <c r="C38" s="64"/>
      <c r="D38" s="64" t="s">
        <v>493</v>
      </c>
      <c r="E38" s="93">
        <f aca="true" t="shared" si="11" ref="E38:O38">E41+E39+E43+E47</f>
        <v>1687300</v>
      </c>
      <c r="F38" s="93">
        <f t="shared" si="11"/>
        <v>447300</v>
      </c>
      <c r="G38" s="93">
        <f t="shared" si="11"/>
        <v>0</v>
      </c>
      <c r="H38" s="93">
        <f t="shared" si="11"/>
        <v>0</v>
      </c>
      <c r="I38" s="93">
        <f t="shared" si="11"/>
        <v>0</v>
      </c>
      <c r="J38" s="93">
        <f t="shared" si="11"/>
        <v>0</v>
      </c>
      <c r="K38" s="93">
        <f t="shared" si="11"/>
        <v>0</v>
      </c>
      <c r="L38" s="93">
        <f t="shared" si="11"/>
        <v>0</v>
      </c>
      <c r="M38" s="93">
        <f t="shared" si="11"/>
        <v>0</v>
      </c>
      <c r="N38" s="93">
        <f t="shared" si="11"/>
        <v>0</v>
      </c>
      <c r="O38" s="93">
        <f t="shared" si="11"/>
        <v>1240000</v>
      </c>
    </row>
    <row r="39" spans="1:15" ht="15.75">
      <c r="A39" s="94"/>
      <c r="B39" s="94">
        <v>71004</v>
      </c>
      <c r="C39" s="94"/>
      <c r="D39" s="66" t="s">
        <v>494</v>
      </c>
      <c r="E39" s="88">
        <f>E40</f>
        <v>160000</v>
      </c>
      <c r="F39" s="88">
        <f>F40</f>
        <v>160000</v>
      </c>
      <c r="G39" s="88">
        <f>G40</f>
        <v>0</v>
      </c>
      <c r="H39" s="88">
        <f>H40</f>
        <v>0</v>
      </c>
      <c r="I39" s="88"/>
      <c r="J39" s="88">
        <f>J40</f>
        <v>0</v>
      </c>
      <c r="K39" s="88"/>
      <c r="L39" s="88"/>
      <c r="M39" s="88">
        <f>M40</f>
        <v>0</v>
      </c>
      <c r="N39" s="88">
        <f>N40</f>
        <v>0</v>
      </c>
      <c r="O39" s="88">
        <f>O40</f>
        <v>0</v>
      </c>
    </row>
    <row r="40" spans="1:15" ht="15.75">
      <c r="A40" s="94"/>
      <c r="B40" s="95"/>
      <c r="C40" s="95">
        <v>4300</v>
      </c>
      <c r="D40" s="1" t="s">
        <v>481</v>
      </c>
      <c r="E40" s="96">
        <f>F40+O40</f>
        <v>160000</v>
      </c>
      <c r="F40" s="96">
        <v>160000</v>
      </c>
      <c r="G40" s="71"/>
      <c r="H40" s="71"/>
      <c r="I40" s="71"/>
      <c r="J40" s="71"/>
      <c r="K40" s="71"/>
      <c r="L40" s="71"/>
      <c r="M40" s="169"/>
      <c r="N40" s="169"/>
      <c r="O40" s="71"/>
    </row>
    <row r="41" spans="1:15" ht="15.75">
      <c r="A41" s="94"/>
      <c r="B41" s="94">
        <v>71013</v>
      </c>
      <c r="C41" s="94"/>
      <c r="D41" s="66" t="s">
        <v>495</v>
      </c>
      <c r="E41" s="88">
        <f>E42</f>
        <v>43300</v>
      </c>
      <c r="F41" s="88">
        <f>F42</f>
        <v>43300</v>
      </c>
      <c r="G41" s="88">
        <f>G42</f>
        <v>0</v>
      </c>
      <c r="H41" s="88">
        <f>H42</f>
        <v>0</v>
      </c>
      <c r="I41" s="88"/>
      <c r="J41" s="88">
        <f>J42</f>
        <v>0</v>
      </c>
      <c r="K41" s="88"/>
      <c r="L41" s="88"/>
      <c r="M41" s="88">
        <f>M42</f>
        <v>0</v>
      </c>
      <c r="N41" s="88">
        <f>N42</f>
        <v>0</v>
      </c>
      <c r="O41" s="88">
        <f>O42</f>
        <v>0</v>
      </c>
    </row>
    <row r="42" spans="1:15" ht="15.75">
      <c r="A42" s="94"/>
      <c r="B42" s="95"/>
      <c r="C42" s="95">
        <v>4300</v>
      </c>
      <c r="D42" s="1" t="s">
        <v>481</v>
      </c>
      <c r="E42" s="96">
        <f>F42+O42</f>
        <v>43300</v>
      </c>
      <c r="F42" s="96">
        <v>43300</v>
      </c>
      <c r="G42" s="71"/>
      <c r="H42" s="71"/>
      <c r="I42" s="71"/>
      <c r="J42" s="71"/>
      <c r="K42" s="71"/>
      <c r="L42" s="71"/>
      <c r="M42" s="169"/>
      <c r="N42" s="169"/>
      <c r="O42" s="71"/>
    </row>
    <row r="43" spans="1:15" ht="15.75">
      <c r="A43" s="94"/>
      <c r="B43" s="94">
        <v>71035</v>
      </c>
      <c r="C43" s="94"/>
      <c r="D43" s="66" t="s">
        <v>328</v>
      </c>
      <c r="E43" s="88">
        <f>SUM(E44:E46)</f>
        <v>1414000</v>
      </c>
      <c r="F43" s="88">
        <f>SUM(F44:F46)</f>
        <v>174000</v>
      </c>
      <c r="G43" s="88">
        <f>SUM(G44:G46)</f>
        <v>0</v>
      </c>
      <c r="H43" s="88">
        <f>SUM(H44:H46)</f>
        <v>0</v>
      </c>
      <c r="I43" s="88"/>
      <c r="J43" s="88">
        <f>SUM(J44:J46)</f>
        <v>0</v>
      </c>
      <c r="K43" s="88"/>
      <c r="L43" s="88"/>
      <c r="M43" s="88">
        <f>SUM(M44:M46)</f>
        <v>0</v>
      </c>
      <c r="N43" s="88">
        <f>SUM(N44:N46)</f>
        <v>0</v>
      </c>
      <c r="O43" s="88">
        <f>SUM(O44:O46)</f>
        <v>1240000</v>
      </c>
    </row>
    <row r="44" spans="1:15" ht="15.75">
      <c r="A44" s="94"/>
      <c r="B44" s="95"/>
      <c r="C44" s="95">
        <v>4300</v>
      </c>
      <c r="D44" s="1" t="s">
        <v>481</v>
      </c>
      <c r="E44" s="96">
        <f>F44</f>
        <v>174000</v>
      </c>
      <c r="F44" s="96">
        <v>174000</v>
      </c>
      <c r="G44" s="71"/>
      <c r="H44" s="71"/>
      <c r="I44" s="71"/>
      <c r="J44" s="71"/>
      <c r="K44" s="71"/>
      <c r="L44" s="71"/>
      <c r="M44" s="169"/>
      <c r="N44" s="169"/>
      <c r="O44" s="71"/>
    </row>
    <row r="45" spans="1:15" ht="31.5">
      <c r="A45" s="94"/>
      <c r="B45" s="95"/>
      <c r="C45" s="95">
        <v>6050</v>
      </c>
      <c r="D45" s="1" t="s">
        <v>487</v>
      </c>
      <c r="E45" s="96">
        <f>F45+O45</f>
        <v>1200000</v>
      </c>
      <c r="F45" s="96"/>
      <c r="G45" s="71"/>
      <c r="H45" s="71"/>
      <c r="I45" s="71"/>
      <c r="J45" s="71"/>
      <c r="K45" s="71"/>
      <c r="L45" s="71"/>
      <c r="M45" s="169"/>
      <c r="N45" s="169"/>
      <c r="O45" s="96">
        <f>'zał 11'!E34</f>
        <v>1200000</v>
      </c>
    </row>
    <row r="46" spans="1:15" ht="31.5">
      <c r="A46" s="94"/>
      <c r="B46" s="95"/>
      <c r="C46" s="95">
        <v>6058</v>
      </c>
      <c r="D46" s="1" t="s">
        <v>487</v>
      </c>
      <c r="E46" s="96">
        <f>F46+O46</f>
        <v>40000</v>
      </c>
      <c r="F46" s="96"/>
      <c r="G46" s="71"/>
      <c r="H46" s="71"/>
      <c r="I46" s="71"/>
      <c r="J46" s="71"/>
      <c r="K46" s="71"/>
      <c r="L46" s="71"/>
      <c r="M46" s="169"/>
      <c r="N46" s="169"/>
      <c r="O46" s="96">
        <f>'zał 11'!E37</f>
        <v>40000</v>
      </c>
    </row>
    <row r="47" spans="1:15" ht="15.75">
      <c r="A47" s="94"/>
      <c r="B47" s="94">
        <v>71095</v>
      </c>
      <c r="C47" s="94"/>
      <c r="D47" s="66" t="s">
        <v>306</v>
      </c>
      <c r="E47" s="88">
        <f>E48</f>
        <v>70000</v>
      </c>
      <c r="F47" s="88">
        <f>F48</f>
        <v>70000</v>
      </c>
      <c r="G47" s="88">
        <f>G48</f>
        <v>0</v>
      </c>
      <c r="H47" s="88">
        <f>H48</f>
        <v>0</v>
      </c>
      <c r="I47" s="88"/>
      <c r="J47" s="88">
        <f>J48</f>
        <v>0</v>
      </c>
      <c r="K47" s="88"/>
      <c r="L47" s="88"/>
      <c r="M47" s="88">
        <f>M48</f>
        <v>0</v>
      </c>
      <c r="N47" s="88">
        <f>N48</f>
        <v>0</v>
      </c>
      <c r="O47" s="88">
        <f>O48</f>
        <v>0</v>
      </c>
    </row>
    <row r="48" spans="1:15" ht="15.75">
      <c r="A48" s="94"/>
      <c r="B48" s="95"/>
      <c r="C48" s="95">
        <v>4300</v>
      </c>
      <c r="D48" s="1" t="s">
        <v>481</v>
      </c>
      <c r="E48" s="96">
        <f>F48+O48</f>
        <v>70000</v>
      </c>
      <c r="F48" s="96">
        <v>70000</v>
      </c>
      <c r="G48" s="71"/>
      <c r="H48" s="71"/>
      <c r="I48" s="71"/>
      <c r="J48" s="71"/>
      <c r="K48" s="71"/>
      <c r="L48" s="71"/>
      <c r="M48" s="169"/>
      <c r="N48" s="169"/>
      <c r="O48" s="71"/>
    </row>
    <row r="49" spans="1:15" ht="15.75">
      <c r="A49" s="64">
        <v>750</v>
      </c>
      <c r="B49" s="64"/>
      <c r="C49" s="64"/>
      <c r="D49" s="64" t="s">
        <v>330</v>
      </c>
      <c r="E49" s="93">
        <f aca="true" t="shared" si="12" ref="E49:O49">E50+E54+E80+E86</f>
        <v>4626038.5112</v>
      </c>
      <c r="F49" s="93">
        <f t="shared" si="12"/>
        <v>4626038.5112</v>
      </c>
      <c r="G49" s="93">
        <f t="shared" si="12"/>
        <v>2779747</v>
      </c>
      <c r="H49" s="93">
        <f t="shared" si="12"/>
        <v>488037.51120000007</v>
      </c>
      <c r="I49" s="93">
        <f t="shared" si="12"/>
        <v>835330</v>
      </c>
      <c r="J49" s="93">
        <f t="shared" si="12"/>
        <v>0</v>
      </c>
      <c r="K49" s="93">
        <f t="shared" si="12"/>
        <v>355022</v>
      </c>
      <c r="L49" s="93">
        <f t="shared" si="12"/>
        <v>0</v>
      </c>
      <c r="M49" s="93">
        <f t="shared" si="12"/>
        <v>0</v>
      </c>
      <c r="N49" s="93">
        <f t="shared" si="12"/>
        <v>0</v>
      </c>
      <c r="O49" s="93">
        <f t="shared" si="12"/>
        <v>0</v>
      </c>
    </row>
    <row r="50" spans="1:15" ht="31.5">
      <c r="A50" s="94"/>
      <c r="B50" s="94">
        <v>75022</v>
      </c>
      <c r="C50" s="94"/>
      <c r="D50" s="66" t="s">
        <v>496</v>
      </c>
      <c r="E50" s="88">
        <f aca="true" t="shared" si="13" ref="E50:O50">SUM(E51:E53)</f>
        <v>271400</v>
      </c>
      <c r="F50" s="88">
        <f t="shared" si="13"/>
        <v>271400</v>
      </c>
      <c r="G50" s="88">
        <f t="shared" si="13"/>
        <v>0</v>
      </c>
      <c r="H50" s="88">
        <f t="shared" si="13"/>
        <v>0</v>
      </c>
      <c r="I50" s="88">
        <f t="shared" si="13"/>
        <v>0</v>
      </c>
      <c r="J50" s="88">
        <f t="shared" si="13"/>
        <v>0</v>
      </c>
      <c r="K50" s="88">
        <f t="shared" si="13"/>
        <v>242000</v>
      </c>
      <c r="L50" s="88">
        <f t="shared" si="13"/>
        <v>0</v>
      </c>
      <c r="M50" s="88">
        <f t="shared" si="13"/>
        <v>0</v>
      </c>
      <c r="N50" s="88">
        <f t="shared" si="13"/>
        <v>0</v>
      </c>
      <c r="O50" s="88">
        <f t="shared" si="13"/>
        <v>0</v>
      </c>
    </row>
    <row r="51" spans="1:15" ht="17.25" customHeight="1">
      <c r="A51" s="95"/>
      <c r="B51" s="95"/>
      <c r="C51" s="95">
        <v>3030</v>
      </c>
      <c r="D51" s="1" t="s">
        <v>497</v>
      </c>
      <c r="E51" s="96">
        <f>F51+O51</f>
        <v>242000</v>
      </c>
      <c r="F51" s="96">
        <f>K51</f>
        <v>242000</v>
      </c>
      <c r="G51" s="71"/>
      <c r="H51" s="71"/>
      <c r="I51" s="71"/>
      <c r="J51" s="71"/>
      <c r="K51" s="96">
        <f>240000+2000</f>
        <v>242000</v>
      </c>
      <c r="L51" s="71"/>
      <c r="M51" s="169"/>
      <c r="N51" s="169"/>
      <c r="O51" s="71"/>
    </row>
    <row r="52" spans="1:15" ht="15.75">
      <c r="A52" s="94"/>
      <c r="B52" s="95"/>
      <c r="C52" s="95">
        <v>4210</v>
      </c>
      <c r="D52" s="1" t="s">
        <v>498</v>
      </c>
      <c r="E52" s="96">
        <f>F52+O52</f>
        <v>18200</v>
      </c>
      <c r="F52" s="96">
        <v>18200</v>
      </c>
      <c r="G52" s="71"/>
      <c r="H52" s="71"/>
      <c r="I52" s="71"/>
      <c r="J52" s="71"/>
      <c r="K52" s="71"/>
      <c r="L52" s="71"/>
      <c r="M52" s="169"/>
      <c r="N52" s="169"/>
      <c r="O52" s="71"/>
    </row>
    <row r="53" spans="1:15" ht="15.75">
      <c r="A53" s="94"/>
      <c r="B53" s="95"/>
      <c r="C53" s="95">
        <v>4300</v>
      </c>
      <c r="D53" s="1" t="s">
        <v>481</v>
      </c>
      <c r="E53" s="96">
        <f>F53+O53</f>
        <v>11200</v>
      </c>
      <c r="F53" s="96">
        <v>11200</v>
      </c>
      <c r="G53" s="71"/>
      <c r="H53" s="71"/>
      <c r="I53" s="71"/>
      <c r="J53" s="71"/>
      <c r="K53" s="71"/>
      <c r="L53" s="71"/>
      <c r="M53" s="169"/>
      <c r="N53" s="169"/>
      <c r="O53" s="71"/>
    </row>
    <row r="54" spans="1:15" ht="31.5">
      <c r="A54" s="94"/>
      <c r="B54" s="94">
        <v>75023</v>
      </c>
      <c r="C54" s="94"/>
      <c r="D54" s="66" t="s">
        <v>333</v>
      </c>
      <c r="E54" s="88">
        <f aca="true" t="shared" si="14" ref="E54:O54">SUM(E55:E79)</f>
        <v>4116414.5212</v>
      </c>
      <c r="F54" s="88">
        <f t="shared" si="14"/>
        <v>4116414.5212</v>
      </c>
      <c r="G54" s="88">
        <f t="shared" si="14"/>
        <v>2774847</v>
      </c>
      <c r="H54" s="88">
        <f t="shared" si="14"/>
        <v>487137.5212000001</v>
      </c>
      <c r="I54" s="88">
        <f t="shared" si="14"/>
        <v>835330</v>
      </c>
      <c r="J54" s="88">
        <f t="shared" si="14"/>
        <v>0</v>
      </c>
      <c r="K54" s="88">
        <f t="shared" si="14"/>
        <v>18198</v>
      </c>
      <c r="L54" s="88">
        <f t="shared" si="14"/>
        <v>0</v>
      </c>
      <c r="M54" s="88">
        <f t="shared" si="14"/>
        <v>0</v>
      </c>
      <c r="N54" s="88">
        <f t="shared" si="14"/>
        <v>0</v>
      </c>
      <c r="O54" s="88">
        <f t="shared" si="14"/>
        <v>0</v>
      </c>
    </row>
    <row r="55" spans="1:15" ht="21" customHeight="1">
      <c r="A55" s="95"/>
      <c r="B55" s="95"/>
      <c r="C55" s="95">
        <v>3020</v>
      </c>
      <c r="D55" s="1" t="s">
        <v>499</v>
      </c>
      <c r="E55" s="96">
        <f aca="true" t="shared" si="15" ref="E55:E63">F55+O55</f>
        <v>15000</v>
      </c>
      <c r="F55" s="71">
        <v>15000</v>
      </c>
      <c r="G55" s="71"/>
      <c r="H55" s="71"/>
      <c r="I55" s="71"/>
      <c r="J55" s="71"/>
      <c r="K55" s="71">
        <f>37*15*12+1530+4*12*12+432+9000</f>
        <v>18198</v>
      </c>
      <c r="L55" s="71"/>
      <c r="M55" s="169"/>
      <c r="N55" s="169"/>
      <c r="O55" s="71"/>
    </row>
    <row r="56" spans="1:15" ht="15.75">
      <c r="A56" s="95"/>
      <c r="B56" s="95"/>
      <c r="C56" s="95">
        <v>4010</v>
      </c>
      <c r="D56" s="1" t="s">
        <v>500</v>
      </c>
      <c r="E56" s="96">
        <f t="shared" si="15"/>
        <v>2507055</v>
      </c>
      <c r="F56" s="71">
        <f>SUM(G56:N56)</f>
        <v>2507055</v>
      </c>
      <c r="G56" s="96">
        <v>2507055</v>
      </c>
      <c r="H56" s="71"/>
      <c r="I56" s="71"/>
      <c r="J56" s="71"/>
      <c r="K56" s="71"/>
      <c r="L56" s="71"/>
      <c r="M56" s="169"/>
      <c r="N56" s="169"/>
      <c r="O56" s="71"/>
    </row>
    <row r="57" spans="1:15" ht="15.75">
      <c r="A57" s="95"/>
      <c r="B57" s="95"/>
      <c r="C57" s="95">
        <v>4040</v>
      </c>
      <c r="D57" s="1" t="s">
        <v>501</v>
      </c>
      <c r="E57" s="96">
        <f t="shared" si="15"/>
        <v>205292.00000000003</v>
      </c>
      <c r="F57" s="71">
        <f>SUM(G57:N57)</f>
        <v>205292.00000000003</v>
      </c>
      <c r="G57" s="96">
        <f>2415200*0.085</f>
        <v>205292.00000000003</v>
      </c>
      <c r="H57" s="71"/>
      <c r="I57" s="71"/>
      <c r="J57" s="71"/>
      <c r="K57" s="71"/>
      <c r="L57" s="71"/>
      <c r="M57" s="169"/>
      <c r="N57" s="169"/>
      <c r="O57" s="71"/>
    </row>
    <row r="58" spans="1:15" ht="15.75">
      <c r="A58" s="95"/>
      <c r="B58" s="95"/>
      <c r="C58" s="95">
        <v>4110</v>
      </c>
      <c r="D58" s="1" t="s">
        <v>502</v>
      </c>
      <c r="E58" s="96">
        <f t="shared" si="15"/>
        <v>420685.01970000006</v>
      </c>
      <c r="F58" s="71">
        <f>SUM(G58:N58)</f>
        <v>420685.01970000006</v>
      </c>
      <c r="G58" s="71"/>
      <c r="H58" s="96">
        <f>G56*0.1551+G57*0.1551</f>
        <v>420685.01970000006</v>
      </c>
      <c r="I58" s="96"/>
      <c r="J58" s="71"/>
      <c r="K58" s="71"/>
      <c r="L58" s="71"/>
      <c r="M58" s="169"/>
      <c r="N58" s="169"/>
      <c r="O58" s="71"/>
    </row>
    <row r="59" spans="1:15" ht="15.75">
      <c r="A59" s="95"/>
      <c r="B59" s="95"/>
      <c r="C59" s="95">
        <v>4120</v>
      </c>
      <c r="D59" s="1" t="s">
        <v>503</v>
      </c>
      <c r="E59" s="96">
        <f t="shared" si="15"/>
        <v>66452.5015</v>
      </c>
      <c r="F59" s="71">
        <f>SUM(G59:N59)</f>
        <v>66452.5015</v>
      </c>
      <c r="G59" s="71"/>
      <c r="H59" s="96">
        <f>(G56+G57)*0.0245</f>
        <v>66452.5015</v>
      </c>
      <c r="I59" s="96"/>
      <c r="J59" s="71"/>
      <c r="K59" s="71"/>
      <c r="L59" s="71"/>
      <c r="M59" s="169"/>
      <c r="N59" s="169"/>
      <c r="O59" s="71"/>
    </row>
    <row r="60" spans="1:15" ht="15.75">
      <c r="A60" s="95"/>
      <c r="B60" s="95"/>
      <c r="C60" s="95">
        <v>4140</v>
      </c>
      <c r="D60" s="1" t="s">
        <v>504</v>
      </c>
      <c r="E60" s="96">
        <f t="shared" si="15"/>
        <v>4100</v>
      </c>
      <c r="F60" s="96">
        <v>4100</v>
      </c>
      <c r="G60" s="71"/>
      <c r="H60" s="71"/>
      <c r="I60" s="71"/>
      <c r="J60" s="71"/>
      <c r="K60" s="71"/>
      <c r="L60" s="71"/>
      <c r="M60" s="169"/>
      <c r="N60" s="169"/>
      <c r="O60" s="71"/>
    </row>
    <row r="61" spans="1:15" ht="15.75">
      <c r="A61" s="95"/>
      <c r="B61" s="95"/>
      <c r="C61" s="95">
        <v>4170</v>
      </c>
      <c r="D61" s="1" t="s">
        <v>505</v>
      </c>
      <c r="E61" s="96">
        <f t="shared" si="15"/>
        <v>62500</v>
      </c>
      <c r="F61" s="71">
        <f>SUM(G61:N61)</f>
        <v>62500</v>
      </c>
      <c r="G61" s="96">
        <f>43000+1500+18000</f>
        <v>62500</v>
      </c>
      <c r="H61" s="71"/>
      <c r="I61" s="71"/>
      <c r="J61" s="71"/>
      <c r="K61" s="71"/>
      <c r="L61" s="71"/>
      <c r="M61" s="169"/>
      <c r="N61" s="169"/>
      <c r="O61" s="71"/>
    </row>
    <row r="62" spans="1:15" ht="15.75">
      <c r="A62" s="95"/>
      <c r="B62" s="95"/>
      <c r="C62" s="95">
        <v>4210</v>
      </c>
      <c r="D62" s="1" t="s">
        <v>485</v>
      </c>
      <c r="E62" s="96">
        <f t="shared" si="15"/>
        <v>164000</v>
      </c>
      <c r="F62" s="96">
        <f aca="true" t="shared" si="16" ref="F62:F79">I62</f>
        <v>164000</v>
      </c>
      <c r="G62" s="71"/>
      <c r="H62" s="71"/>
      <c r="I62" s="96">
        <v>164000</v>
      </c>
      <c r="J62" s="71"/>
      <c r="K62" s="71"/>
      <c r="L62" s="71"/>
      <c r="M62" s="169"/>
      <c r="N62" s="169"/>
      <c r="O62" s="71"/>
    </row>
    <row r="63" spans="1:15" ht="15.75">
      <c r="A63" s="95"/>
      <c r="B63" s="95"/>
      <c r="C63" s="95">
        <v>4260</v>
      </c>
      <c r="D63" s="1" t="s">
        <v>506</v>
      </c>
      <c r="E63" s="96">
        <f t="shared" si="15"/>
        <v>79500</v>
      </c>
      <c r="F63" s="96">
        <f t="shared" si="16"/>
        <v>79500</v>
      </c>
      <c r="G63" s="71"/>
      <c r="H63" s="71"/>
      <c r="I63" s="96">
        <v>79500</v>
      </c>
      <c r="J63" s="71"/>
      <c r="K63" s="71"/>
      <c r="L63" s="71"/>
      <c r="M63" s="169"/>
      <c r="N63" s="169"/>
      <c r="O63" s="71"/>
    </row>
    <row r="64" spans="1:15" ht="15.75">
      <c r="A64" s="95"/>
      <c r="B64" s="95"/>
      <c r="C64" s="95">
        <v>4270</v>
      </c>
      <c r="D64" s="1" t="s">
        <v>507</v>
      </c>
      <c r="E64" s="96">
        <f>F64</f>
        <v>19500</v>
      </c>
      <c r="F64" s="96">
        <f t="shared" si="16"/>
        <v>19500</v>
      </c>
      <c r="G64" s="71"/>
      <c r="H64" s="71"/>
      <c r="I64" s="96">
        <v>19500</v>
      </c>
      <c r="J64" s="71"/>
      <c r="K64" s="71"/>
      <c r="L64" s="71"/>
      <c r="M64" s="169"/>
      <c r="N64" s="169"/>
      <c r="O64" s="71"/>
    </row>
    <row r="65" spans="1:15" ht="15.75">
      <c r="A65" s="95"/>
      <c r="B65" s="95"/>
      <c r="C65" s="95">
        <v>4280</v>
      </c>
      <c r="D65" s="1" t="s">
        <v>508</v>
      </c>
      <c r="E65" s="96">
        <f aca="true" t="shared" si="17" ref="E65:E79">F65+O65</f>
        <v>3500</v>
      </c>
      <c r="F65" s="96">
        <f t="shared" si="16"/>
        <v>3500</v>
      </c>
      <c r="G65" s="71"/>
      <c r="H65" s="71"/>
      <c r="I65" s="96">
        <v>3500</v>
      </c>
      <c r="J65" s="71"/>
      <c r="K65" s="71"/>
      <c r="L65" s="71"/>
      <c r="M65" s="169"/>
      <c r="N65" s="169"/>
      <c r="O65" s="71"/>
    </row>
    <row r="66" spans="1:15" ht="15.75">
      <c r="A66" s="95"/>
      <c r="B66" s="95"/>
      <c r="C66" s="95">
        <v>4300</v>
      </c>
      <c r="D66" s="1" t="s">
        <v>509</v>
      </c>
      <c r="E66" s="96">
        <f t="shared" si="17"/>
        <v>205000</v>
      </c>
      <c r="F66" s="96">
        <f t="shared" si="16"/>
        <v>205000</v>
      </c>
      <c r="G66" s="71"/>
      <c r="H66" s="71"/>
      <c r="I66" s="96">
        <v>205000</v>
      </c>
      <c r="J66" s="71"/>
      <c r="K66" s="71"/>
      <c r="L66" s="71"/>
      <c r="M66" s="169"/>
      <c r="N66" s="169"/>
      <c r="O66" s="71"/>
    </row>
    <row r="67" spans="1:15" ht="15.75">
      <c r="A67" s="95"/>
      <c r="B67" s="95"/>
      <c r="C67" s="95">
        <v>4350</v>
      </c>
      <c r="D67" s="1" t="s">
        <v>510</v>
      </c>
      <c r="E67" s="96">
        <f t="shared" si="17"/>
        <v>21200</v>
      </c>
      <c r="F67" s="96">
        <f t="shared" si="16"/>
        <v>21200</v>
      </c>
      <c r="G67" s="71"/>
      <c r="H67" s="71"/>
      <c r="I67" s="96">
        <v>21200</v>
      </c>
      <c r="J67" s="71"/>
      <c r="K67" s="71"/>
      <c r="L67" s="71"/>
      <c r="M67" s="169"/>
      <c r="N67" s="169"/>
      <c r="O67" s="71"/>
    </row>
    <row r="68" spans="1:15" ht="31.5">
      <c r="A68" s="95"/>
      <c r="B68" s="95"/>
      <c r="C68" s="95">
        <v>4360</v>
      </c>
      <c r="D68" s="1" t="s">
        <v>511</v>
      </c>
      <c r="E68" s="96">
        <f t="shared" si="17"/>
        <v>14500</v>
      </c>
      <c r="F68" s="96">
        <f t="shared" si="16"/>
        <v>14500</v>
      </c>
      <c r="G68" s="71"/>
      <c r="H68" s="71"/>
      <c r="I68" s="96">
        <v>14500</v>
      </c>
      <c r="J68" s="71"/>
      <c r="K68" s="71"/>
      <c r="L68" s="71"/>
      <c r="M68" s="169"/>
      <c r="N68" s="169"/>
      <c r="O68" s="71"/>
    </row>
    <row r="69" spans="1:15" ht="31.5">
      <c r="A69" s="95"/>
      <c r="B69" s="95"/>
      <c r="C69" s="95">
        <v>4370</v>
      </c>
      <c r="D69" s="1" t="s">
        <v>512</v>
      </c>
      <c r="E69" s="96">
        <f t="shared" si="17"/>
        <v>45000</v>
      </c>
      <c r="F69" s="96">
        <f t="shared" si="16"/>
        <v>45000</v>
      </c>
      <c r="G69" s="71"/>
      <c r="H69" s="71"/>
      <c r="I69" s="96">
        <v>45000</v>
      </c>
      <c r="J69" s="71"/>
      <c r="K69" s="71"/>
      <c r="L69" s="71"/>
      <c r="M69" s="169"/>
      <c r="N69" s="169"/>
      <c r="O69" s="71"/>
    </row>
    <row r="70" spans="1:15" ht="15.75">
      <c r="A70" s="95"/>
      <c r="B70" s="95"/>
      <c r="C70" s="95">
        <v>4380</v>
      </c>
      <c r="D70" s="1" t="s">
        <v>513</v>
      </c>
      <c r="E70" s="96">
        <f t="shared" si="17"/>
        <v>2000</v>
      </c>
      <c r="F70" s="96">
        <f t="shared" si="16"/>
        <v>2000</v>
      </c>
      <c r="G70" s="71"/>
      <c r="H70" s="71"/>
      <c r="I70" s="96">
        <v>2000</v>
      </c>
      <c r="J70" s="71"/>
      <c r="K70" s="71"/>
      <c r="L70" s="71"/>
      <c r="M70" s="169"/>
      <c r="N70" s="169"/>
      <c r="O70" s="71"/>
    </row>
    <row r="71" spans="1:15" ht="31.5">
      <c r="A71" s="95"/>
      <c r="B71" s="95"/>
      <c r="C71" s="95">
        <v>4400</v>
      </c>
      <c r="D71" s="1" t="s">
        <v>514</v>
      </c>
      <c r="E71" s="96">
        <f t="shared" si="17"/>
        <v>9900</v>
      </c>
      <c r="F71" s="96">
        <f t="shared" si="16"/>
        <v>9900</v>
      </c>
      <c r="G71" s="71"/>
      <c r="H71" s="71"/>
      <c r="I71" s="96">
        <v>9900</v>
      </c>
      <c r="J71" s="71"/>
      <c r="K71" s="71"/>
      <c r="L71" s="71"/>
      <c r="M71" s="169"/>
      <c r="N71" s="169"/>
      <c r="O71" s="71"/>
    </row>
    <row r="72" spans="1:15" ht="15.75">
      <c r="A72" s="95"/>
      <c r="B72" s="95"/>
      <c r="C72" s="95">
        <v>4410</v>
      </c>
      <c r="D72" s="1" t="s">
        <v>515</v>
      </c>
      <c r="E72" s="96">
        <f t="shared" si="17"/>
        <v>56400</v>
      </c>
      <c r="F72" s="96">
        <f t="shared" si="16"/>
        <v>56400</v>
      </c>
      <c r="G72" s="71"/>
      <c r="H72" s="71"/>
      <c r="I72" s="96">
        <v>56400</v>
      </c>
      <c r="J72" s="71"/>
      <c r="K72" s="71"/>
      <c r="L72" s="71"/>
      <c r="M72" s="169"/>
      <c r="N72" s="169"/>
      <c r="O72" s="71"/>
    </row>
    <row r="73" spans="1:15" ht="15.75">
      <c r="A73" s="95"/>
      <c r="B73" s="95"/>
      <c r="C73" s="95">
        <v>4420</v>
      </c>
      <c r="D73" s="1" t="s">
        <v>516</v>
      </c>
      <c r="E73" s="96">
        <f t="shared" si="17"/>
        <v>10500</v>
      </c>
      <c r="F73" s="96">
        <f t="shared" si="16"/>
        <v>10500</v>
      </c>
      <c r="G73" s="71"/>
      <c r="H73" s="71"/>
      <c r="I73" s="96">
        <v>10500</v>
      </c>
      <c r="J73" s="71"/>
      <c r="K73" s="71"/>
      <c r="L73" s="71"/>
      <c r="M73" s="169"/>
      <c r="N73" s="169"/>
      <c r="O73" s="71"/>
    </row>
    <row r="74" spans="1:15" ht="15.75">
      <c r="A74" s="95"/>
      <c r="B74" s="95"/>
      <c r="C74" s="95">
        <v>4430</v>
      </c>
      <c r="D74" s="1" t="s">
        <v>491</v>
      </c>
      <c r="E74" s="96">
        <f t="shared" si="17"/>
        <v>8500</v>
      </c>
      <c r="F74" s="96">
        <f t="shared" si="16"/>
        <v>8500</v>
      </c>
      <c r="G74" s="71"/>
      <c r="H74" s="71"/>
      <c r="I74" s="96">
        <v>8500</v>
      </c>
      <c r="J74" s="71"/>
      <c r="K74" s="71"/>
      <c r="L74" s="71"/>
      <c r="M74" s="169"/>
      <c r="N74" s="169"/>
      <c r="O74" s="71"/>
    </row>
    <row r="75" spans="1:15" ht="31.5">
      <c r="A75" s="95"/>
      <c r="B75" s="95"/>
      <c r="C75" s="95">
        <v>4440</v>
      </c>
      <c r="D75" s="1" t="s">
        <v>517</v>
      </c>
      <c r="E75" s="96">
        <f t="shared" si="17"/>
        <v>89040</v>
      </c>
      <c r="F75" s="96">
        <f t="shared" si="16"/>
        <v>89040</v>
      </c>
      <c r="G75" s="71"/>
      <c r="H75" s="71"/>
      <c r="I75" s="96">
        <v>89040</v>
      </c>
      <c r="J75" s="71"/>
      <c r="K75" s="71"/>
      <c r="L75" s="71"/>
      <c r="M75" s="169"/>
      <c r="N75" s="169"/>
      <c r="O75" s="71"/>
    </row>
    <row r="76" spans="1:15" ht="31.5">
      <c r="A76" s="95"/>
      <c r="B76" s="95"/>
      <c r="C76" s="95">
        <v>4610</v>
      </c>
      <c r="D76" s="1" t="s">
        <v>518</v>
      </c>
      <c r="E76" s="96">
        <f t="shared" si="17"/>
        <v>3000</v>
      </c>
      <c r="F76" s="96">
        <f t="shared" si="16"/>
        <v>3000</v>
      </c>
      <c r="G76" s="71"/>
      <c r="H76" s="71"/>
      <c r="I76" s="96">
        <v>3000</v>
      </c>
      <c r="J76" s="71"/>
      <c r="K76" s="71"/>
      <c r="L76" s="71"/>
      <c r="M76" s="169"/>
      <c r="N76" s="169"/>
      <c r="O76" s="71"/>
    </row>
    <row r="77" spans="1:15" ht="31.5">
      <c r="A77" s="95"/>
      <c r="B77" s="95"/>
      <c r="C77" s="95">
        <v>4700</v>
      </c>
      <c r="D77" s="1" t="s">
        <v>519</v>
      </c>
      <c r="E77" s="96">
        <f t="shared" si="17"/>
        <v>23800</v>
      </c>
      <c r="F77" s="96">
        <f t="shared" si="16"/>
        <v>23800</v>
      </c>
      <c r="G77" s="71"/>
      <c r="H77" s="71"/>
      <c r="I77" s="96">
        <v>23800</v>
      </c>
      <c r="J77" s="71"/>
      <c r="K77" s="71"/>
      <c r="L77" s="71"/>
      <c r="M77" s="169"/>
      <c r="N77" s="169"/>
      <c r="O77" s="71"/>
    </row>
    <row r="78" spans="1:15" ht="31.5">
      <c r="A78" s="95"/>
      <c r="B78" s="95"/>
      <c r="C78" s="95">
        <v>4740</v>
      </c>
      <c r="D78" s="1" t="s">
        <v>520</v>
      </c>
      <c r="E78" s="96">
        <f t="shared" si="17"/>
        <v>14500</v>
      </c>
      <c r="F78" s="96">
        <f t="shared" si="16"/>
        <v>14500</v>
      </c>
      <c r="G78" s="71"/>
      <c r="H78" s="71"/>
      <c r="I78" s="96">
        <v>14500</v>
      </c>
      <c r="J78" s="71"/>
      <c r="K78" s="71"/>
      <c r="L78" s="71"/>
      <c r="M78" s="169"/>
      <c r="N78" s="169"/>
      <c r="O78" s="71"/>
    </row>
    <row r="79" spans="1:15" ht="31.5">
      <c r="A79" s="95"/>
      <c r="B79" s="95"/>
      <c r="C79" s="95">
        <v>4750</v>
      </c>
      <c r="D79" s="1" t="s">
        <v>521</v>
      </c>
      <c r="E79" s="96">
        <f t="shared" si="17"/>
        <v>65490</v>
      </c>
      <c r="F79" s="96">
        <f t="shared" si="16"/>
        <v>65490</v>
      </c>
      <c r="G79" s="71"/>
      <c r="H79" s="71"/>
      <c r="I79" s="96">
        <f>1000+29890+34600</f>
        <v>65490</v>
      </c>
      <c r="J79" s="71"/>
      <c r="K79" s="71"/>
      <c r="L79" s="71"/>
      <c r="M79" s="169"/>
      <c r="N79" s="169"/>
      <c r="O79" s="71"/>
    </row>
    <row r="80" spans="1:15" ht="31.5">
      <c r="A80" s="94"/>
      <c r="B80" s="94">
        <v>75075</v>
      </c>
      <c r="C80" s="94"/>
      <c r="D80" s="66" t="s">
        <v>522</v>
      </c>
      <c r="E80" s="88">
        <f aca="true" t="shared" si="18" ref="E80:O80">SUM(E81:E85)</f>
        <v>90899.98999999999</v>
      </c>
      <c r="F80" s="88">
        <f t="shared" si="18"/>
        <v>90899.98999999999</v>
      </c>
      <c r="G80" s="88">
        <f t="shared" si="18"/>
        <v>4900</v>
      </c>
      <c r="H80" s="88">
        <f t="shared" si="18"/>
        <v>899.9900000000001</v>
      </c>
      <c r="I80" s="88">
        <f t="shared" si="18"/>
        <v>0</v>
      </c>
      <c r="J80" s="88">
        <f t="shared" si="18"/>
        <v>0</v>
      </c>
      <c r="K80" s="88">
        <f t="shared" si="18"/>
        <v>0</v>
      </c>
      <c r="L80" s="88">
        <f t="shared" si="18"/>
        <v>0</v>
      </c>
      <c r="M80" s="88">
        <f t="shared" si="18"/>
        <v>0</v>
      </c>
      <c r="N80" s="88">
        <f t="shared" si="18"/>
        <v>0</v>
      </c>
      <c r="O80" s="88">
        <f t="shared" si="18"/>
        <v>0</v>
      </c>
    </row>
    <row r="81" spans="1:15" ht="15.75">
      <c r="A81" s="95"/>
      <c r="B81" s="95"/>
      <c r="C81" s="95">
        <v>4110</v>
      </c>
      <c r="D81" s="1" t="s">
        <v>502</v>
      </c>
      <c r="E81" s="96">
        <f>F81+O81</f>
        <v>759.9900000000001</v>
      </c>
      <c r="F81" s="71">
        <f>SUM(G81:N81)</f>
        <v>759.9900000000001</v>
      </c>
      <c r="G81" s="71"/>
      <c r="H81" s="96">
        <f>G79*0.1551+G80*0.1551</f>
        <v>759.9900000000001</v>
      </c>
      <c r="I81" s="96"/>
      <c r="J81" s="71"/>
      <c r="K81" s="71"/>
      <c r="L81" s="71"/>
      <c r="M81" s="169"/>
      <c r="N81" s="88"/>
      <c r="O81" s="88"/>
    </row>
    <row r="82" spans="1:15" ht="15.75">
      <c r="A82" s="95"/>
      <c r="B82" s="95"/>
      <c r="C82" s="95">
        <v>4120</v>
      </c>
      <c r="D82" s="1" t="s">
        <v>503</v>
      </c>
      <c r="E82" s="96">
        <f>F82+O82</f>
        <v>140</v>
      </c>
      <c r="F82" s="71">
        <f>SUM(G82:N82)</f>
        <v>140</v>
      </c>
      <c r="G82" s="71"/>
      <c r="H82" s="96">
        <v>140</v>
      </c>
      <c r="I82" s="96"/>
      <c r="J82" s="71"/>
      <c r="K82" s="71"/>
      <c r="L82" s="71"/>
      <c r="M82" s="169"/>
      <c r="N82" s="88"/>
      <c r="O82" s="88"/>
    </row>
    <row r="83" spans="1:15" ht="15.75">
      <c r="A83" s="95"/>
      <c r="B83" s="95"/>
      <c r="C83" s="95">
        <v>4170</v>
      </c>
      <c r="D83" s="1" t="s">
        <v>505</v>
      </c>
      <c r="E83" s="96">
        <f>F83+O83</f>
        <v>4900</v>
      </c>
      <c r="F83" s="71">
        <f>SUM(G83:N83)</f>
        <v>4900</v>
      </c>
      <c r="G83" s="71">
        <v>4900</v>
      </c>
      <c r="H83" s="96"/>
      <c r="I83" s="96"/>
      <c r="J83" s="71"/>
      <c r="K83" s="71"/>
      <c r="L83" s="71"/>
      <c r="M83" s="169"/>
      <c r="N83" s="169"/>
      <c r="O83" s="71"/>
    </row>
    <row r="84" spans="1:15" ht="15.75">
      <c r="A84" s="95"/>
      <c r="B84" s="95"/>
      <c r="C84" s="95">
        <v>4210</v>
      </c>
      <c r="D84" s="1" t="s">
        <v>485</v>
      </c>
      <c r="E84" s="96">
        <f>F84+O84</f>
        <v>34700</v>
      </c>
      <c r="F84" s="96">
        <v>34700</v>
      </c>
      <c r="G84" s="71"/>
      <c r="H84" s="71"/>
      <c r="I84" s="71"/>
      <c r="J84" s="71"/>
      <c r="K84" s="71"/>
      <c r="L84" s="71"/>
      <c r="M84" s="169"/>
      <c r="N84" s="169"/>
      <c r="O84" s="71"/>
    </row>
    <row r="85" spans="1:15" ht="15.75">
      <c r="A85" s="95"/>
      <c r="B85" s="95"/>
      <c r="C85" s="95">
        <v>4300</v>
      </c>
      <c r="D85" s="1" t="s">
        <v>481</v>
      </c>
      <c r="E85" s="96">
        <f>F85+O85</f>
        <v>50400</v>
      </c>
      <c r="F85" s="96">
        <v>50400</v>
      </c>
      <c r="G85" s="71"/>
      <c r="H85" s="71"/>
      <c r="I85" s="71"/>
      <c r="J85" s="71"/>
      <c r="K85" s="71"/>
      <c r="L85" s="71"/>
      <c r="M85" s="169"/>
      <c r="N85" s="169"/>
      <c r="O85" s="71"/>
    </row>
    <row r="86" spans="1:15" ht="15.75">
      <c r="A86" s="94"/>
      <c r="B86" s="94">
        <v>75095</v>
      </c>
      <c r="C86" s="94"/>
      <c r="D86" s="66" t="s">
        <v>306</v>
      </c>
      <c r="E86" s="88">
        <f aca="true" t="shared" si="19" ref="E86:O86">SUM(E87:E90)</f>
        <v>147324</v>
      </c>
      <c r="F86" s="88">
        <f t="shared" si="19"/>
        <v>147324</v>
      </c>
      <c r="G86" s="88">
        <f t="shared" si="19"/>
        <v>0</v>
      </c>
      <c r="H86" s="88">
        <f t="shared" si="19"/>
        <v>0</v>
      </c>
      <c r="I86" s="88">
        <f t="shared" si="19"/>
        <v>0</v>
      </c>
      <c r="J86" s="88">
        <f t="shared" si="19"/>
        <v>0</v>
      </c>
      <c r="K86" s="88">
        <f t="shared" si="19"/>
        <v>94824</v>
      </c>
      <c r="L86" s="88">
        <f t="shared" si="19"/>
        <v>0</v>
      </c>
      <c r="M86" s="88">
        <f t="shared" si="19"/>
        <v>0</v>
      </c>
      <c r="N86" s="88">
        <f t="shared" si="19"/>
        <v>0</v>
      </c>
      <c r="O86" s="88">
        <f t="shared" si="19"/>
        <v>0</v>
      </c>
    </row>
    <row r="87" spans="1:15" ht="15.75">
      <c r="A87" s="95"/>
      <c r="B87" s="95"/>
      <c r="C87" s="95">
        <v>3030</v>
      </c>
      <c r="D87" s="1" t="s">
        <v>523</v>
      </c>
      <c r="E87" s="96">
        <f>F87+O87</f>
        <v>94824</v>
      </c>
      <c r="F87" s="96">
        <f>K87</f>
        <v>94824</v>
      </c>
      <c r="G87" s="71"/>
      <c r="H87" s="71"/>
      <c r="I87" s="71"/>
      <c r="J87" s="71"/>
      <c r="K87" s="96">
        <f>12*7902</f>
        <v>94824</v>
      </c>
      <c r="L87" s="71"/>
      <c r="M87" s="169"/>
      <c r="N87" s="169"/>
      <c r="O87" s="71"/>
    </row>
    <row r="88" spans="1:15" ht="15.75">
      <c r="A88" s="95"/>
      <c r="B88" s="95"/>
      <c r="C88" s="95">
        <v>4210</v>
      </c>
      <c r="D88" s="1" t="s">
        <v>485</v>
      </c>
      <c r="E88" s="96">
        <f>F88+O88</f>
        <v>4100</v>
      </c>
      <c r="F88" s="96">
        <v>4100</v>
      </c>
      <c r="G88" s="71"/>
      <c r="H88" s="71"/>
      <c r="I88" s="71"/>
      <c r="J88" s="71"/>
      <c r="K88" s="71"/>
      <c r="L88" s="71"/>
      <c r="M88" s="169"/>
      <c r="N88" s="169"/>
      <c r="O88" s="71"/>
    </row>
    <row r="89" spans="1:15" ht="15.75">
      <c r="A89" s="95"/>
      <c r="B89" s="95"/>
      <c r="C89" s="95">
        <v>4300</v>
      </c>
      <c r="D89" s="1" t="s">
        <v>481</v>
      </c>
      <c r="E89" s="96">
        <f>F89+O89</f>
        <v>4100</v>
      </c>
      <c r="F89" s="96">
        <v>4100</v>
      </c>
      <c r="G89" s="71"/>
      <c r="H89" s="71"/>
      <c r="I89" s="71"/>
      <c r="J89" s="71"/>
      <c r="K89" s="71"/>
      <c r="L89" s="71"/>
      <c r="M89" s="169"/>
      <c r="N89" s="169"/>
      <c r="O89" s="71"/>
    </row>
    <row r="90" spans="1:15" ht="15.75">
      <c r="A90" s="95"/>
      <c r="B90" s="95"/>
      <c r="C90" s="95">
        <v>4430</v>
      </c>
      <c r="D90" s="1" t="s">
        <v>491</v>
      </c>
      <c r="E90" s="96">
        <f>F90+O90</f>
        <v>44300</v>
      </c>
      <c r="F90" s="96">
        <v>44300</v>
      </c>
      <c r="G90" s="71"/>
      <c r="H90" s="71"/>
      <c r="I90" s="71"/>
      <c r="J90" s="71"/>
      <c r="K90" s="71"/>
      <c r="L90" s="71"/>
      <c r="M90" s="169"/>
      <c r="N90" s="169"/>
      <c r="O90" s="71"/>
    </row>
    <row r="91" spans="1:15" ht="31.5">
      <c r="A91" s="64" t="s">
        <v>524</v>
      </c>
      <c r="B91" s="64"/>
      <c r="C91" s="64"/>
      <c r="D91" s="64" t="s">
        <v>525</v>
      </c>
      <c r="E91" s="93">
        <f aca="true" t="shared" si="20" ref="E91:O91">E92+E103</f>
        <v>1602000</v>
      </c>
      <c r="F91" s="93">
        <f t="shared" si="20"/>
        <v>302000</v>
      </c>
      <c r="G91" s="93">
        <f t="shared" si="20"/>
        <v>40800</v>
      </c>
      <c r="H91" s="93">
        <f t="shared" si="20"/>
        <v>6328.080000000001</v>
      </c>
      <c r="I91" s="93">
        <f t="shared" si="20"/>
        <v>0</v>
      </c>
      <c r="J91" s="93">
        <f t="shared" si="20"/>
        <v>0</v>
      </c>
      <c r="K91" s="93">
        <f t="shared" si="20"/>
        <v>25000</v>
      </c>
      <c r="L91" s="93">
        <f t="shared" si="20"/>
        <v>0</v>
      </c>
      <c r="M91" s="93">
        <f t="shared" si="20"/>
        <v>0</v>
      </c>
      <c r="N91" s="93">
        <f t="shared" si="20"/>
        <v>0</v>
      </c>
      <c r="O91" s="93">
        <f t="shared" si="20"/>
        <v>1300000</v>
      </c>
    </row>
    <row r="92" spans="1:15" ht="15.75">
      <c r="A92" s="94"/>
      <c r="B92" s="94">
        <v>75412</v>
      </c>
      <c r="C92" s="94"/>
      <c r="D92" s="66" t="s">
        <v>526</v>
      </c>
      <c r="E92" s="88">
        <f aca="true" t="shared" si="21" ref="E92:O92">SUM(E93:E102)</f>
        <v>1487000</v>
      </c>
      <c r="F92" s="88">
        <f t="shared" si="21"/>
        <v>187000</v>
      </c>
      <c r="G92" s="88">
        <f t="shared" si="21"/>
        <v>40800</v>
      </c>
      <c r="H92" s="88">
        <f t="shared" si="21"/>
        <v>6328.080000000001</v>
      </c>
      <c r="I92" s="88">
        <f t="shared" si="21"/>
        <v>0</v>
      </c>
      <c r="J92" s="88">
        <f t="shared" si="21"/>
        <v>0</v>
      </c>
      <c r="K92" s="88">
        <f t="shared" si="21"/>
        <v>25000</v>
      </c>
      <c r="L92" s="88">
        <f t="shared" si="21"/>
        <v>0</v>
      </c>
      <c r="M92" s="88">
        <f t="shared" si="21"/>
        <v>0</v>
      </c>
      <c r="N92" s="88">
        <f t="shared" si="21"/>
        <v>0</v>
      </c>
      <c r="O92" s="88">
        <f t="shared" si="21"/>
        <v>1300000</v>
      </c>
    </row>
    <row r="93" spans="1:15" ht="31.5">
      <c r="A93" s="95"/>
      <c r="B93" s="95"/>
      <c r="C93" s="95">
        <v>3020</v>
      </c>
      <c r="D93" s="1" t="s">
        <v>527</v>
      </c>
      <c r="E93" s="96">
        <f>F93+O93</f>
        <v>25000</v>
      </c>
      <c r="F93" s="71">
        <f>K93</f>
        <v>25000</v>
      </c>
      <c r="G93" s="71"/>
      <c r="H93" s="71"/>
      <c r="I93" s="71"/>
      <c r="J93" s="71"/>
      <c r="K93" s="71">
        <v>25000</v>
      </c>
      <c r="L93" s="71"/>
      <c r="M93" s="169"/>
      <c r="N93" s="169"/>
      <c r="O93" s="71"/>
    </row>
    <row r="94" spans="1:15" ht="15.75">
      <c r="A94" s="95"/>
      <c r="B94" s="95"/>
      <c r="C94" s="95">
        <v>4110</v>
      </c>
      <c r="D94" s="1" t="s">
        <v>502</v>
      </c>
      <c r="E94" s="96">
        <f>F94+O94</f>
        <v>700</v>
      </c>
      <c r="F94" s="71">
        <v>700</v>
      </c>
      <c r="G94" s="71"/>
      <c r="H94" s="96">
        <f>G92*0.1551+G93*0.1551</f>
        <v>6328.080000000001</v>
      </c>
      <c r="I94" s="96"/>
      <c r="J94" s="71"/>
      <c r="K94" s="71"/>
      <c r="L94" s="71"/>
      <c r="M94" s="169"/>
      <c r="N94" s="169"/>
      <c r="O94" s="71"/>
    </row>
    <row r="95" spans="1:15" ht="15.75">
      <c r="A95" s="95"/>
      <c r="B95" s="95"/>
      <c r="C95" s="95">
        <v>4170</v>
      </c>
      <c r="D95" s="1" t="s">
        <v>505</v>
      </c>
      <c r="E95" s="96">
        <f>F95+O95</f>
        <v>40800</v>
      </c>
      <c r="F95" s="96">
        <v>40800</v>
      </c>
      <c r="G95" s="96">
        <v>40800</v>
      </c>
      <c r="H95" s="71"/>
      <c r="I95" s="71"/>
      <c r="J95" s="71"/>
      <c r="K95" s="71"/>
      <c r="L95" s="71"/>
      <c r="M95" s="169"/>
      <c r="N95" s="169"/>
      <c r="O95" s="71"/>
    </row>
    <row r="96" spans="1:15" ht="15.75">
      <c r="A96" s="95"/>
      <c r="B96" s="95"/>
      <c r="C96" s="95">
        <v>4210</v>
      </c>
      <c r="D96" s="1" t="s">
        <v>485</v>
      </c>
      <c r="E96" s="96">
        <f>F96+O96</f>
        <v>32600</v>
      </c>
      <c r="F96" s="96">
        <v>32600</v>
      </c>
      <c r="G96" s="71"/>
      <c r="H96" s="71"/>
      <c r="I96" s="71"/>
      <c r="J96" s="71"/>
      <c r="K96" s="71"/>
      <c r="L96" s="71"/>
      <c r="M96" s="169"/>
      <c r="N96" s="169"/>
      <c r="O96" s="71"/>
    </row>
    <row r="97" spans="1:15" ht="15.75">
      <c r="A97" s="95"/>
      <c r="B97" s="95"/>
      <c r="C97" s="95">
        <v>4260</v>
      </c>
      <c r="D97" s="1" t="s">
        <v>506</v>
      </c>
      <c r="E97" s="96">
        <f>F97+O97</f>
        <v>10200</v>
      </c>
      <c r="F97" s="96">
        <v>10200</v>
      </c>
      <c r="G97" s="71"/>
      <c r="H97" s="71"/>
      <c r="I97" s="71"/>
      <c r="J97" s="71"/>
      <c r="K97" s="71"/>
      <c r="L97" s="71"/>
      <c r="M97" s="169"/>
      <c r="N97" s="169"/>
      <c r="O97" s="71"/>
    </row>
    <row r="98" spans="1:15" ht="15.75">
      <c r="A98" s="95"/>
      <c r="B98" s="95"/>
      <c r="C98" s="95">
        <v>4270</v>
      </c>
      <c r="D98" s="1" t="s">
        <v>507</v>
      </c>
      <c r="E98" s="96">
        <f>F98</f>
        <v>15000</v>
      </c>
      <c r="F98" s="96">
        <v>15000</v>
      </c>
      <c r="G98" s="71"/>
      <c r="H98" s="71"/>
      <c r="I98" s="71"/>
      <c r="J98" s="71"/>
      <c r="K98" s="71"/>
      <c r="L98" s="71"/>
      <c r="M98" s="169"/>
      <c r="N98" s="169"/>
      <c r="O98" s="71"/>
    </row>
    <row r="99" spans="1:15" ht="15.75">
      <c r="A99" s="95"/>
      <c r="B99" s="95"/>
      <c r="C99" s="95">
        <v>4280</v>
      </c>
      <c r="D99" s="1" t="s">
        <v>508</v>
      </c>
      <c r="E99" s="96">
        <f>F99+O99</f>
        <v>3500</v>
      </c>
      <c r="F99" s="96">
        <v>3500</v>
      </c>
      <c r="G99" s="71"/>
      <c r="H99" s="71"/>
      <c r="I99" s="71"/>
      <c r="J99" s="71"/>
      <c r="K99" s="71"/>
      <c r="L99" s="71"/>
      <c r="M99" s="169"/>
      <c r="N99" s="169"/>
      <c r="O99" s="71"/>
    </row>
    <row r="100" spans="1:15" ht="15.75">
      <c r="A100" s="95"/>
      <c r="B100" s="95"/>
      <c r="C100" s="95">
        <v>4300</v>
      </c>
      <c r="D100" s="1" t="s">
        <v>509</v>
      </c>
      <c r="E100" s="96">
        <f>F100+O100</f>
        <v>44700</v>
      </c>
      <c r="F100" s="96">
        <f>50500-14000+8200</f>
        <v>44700</v>
      </c>
      <c r="G100" s="71"/>
      <c r="H100" s="71"/>
      <c r="I100" s="71"/>
      <c r="J100" s="71"/>
      <c r="K100" s="71"/>
      <c r="L100" s="71"/>
      <c r="M100" s="169"/>
      <c r="N100" s="169"/>
      <c r="O100" s="71"/>
    </row>
    <row r="101" spans="1:15" ht="15.75">
      <c r="A101" s="95"/>
      <c r="B101" s="95"/>
      <c r="C101" s="95">
        <v>4430</v>
      </c>
      <c r="D101" s="1" t="s">
        <v>491</v>
      </c>
      <c r="E101" s="96">
        <f>F101+O101</f>
        <v>14500</v>
      </c>
      <c r="F101" s="96">
        <f>500+14000</f>
        <v>14500</v>
      </c>
      <c r="G101" s="71"/>
      <c r="H101" s="71"/>
      <c r="I101" s="71"/>
      <c r="J101" s="71"/>
      <c r="K101" s="71"/>
      <c r="L101" s="71"/>
      <c r="M101" s="169"/>
      <c r="N101" s="169"/>
      <c r="O101" s="71"/>
    </row>
    <row r="102" spans="1:15" ht="31.5">
      <c r="A102" s="94"/>
      <c r="B102" s="95"/>
      <c r="C102" s="95">
        <v>6050</v>
      </c>
      <c r="D102" s="1" t="s">
        <v>487</v>
      </c>
      <c r="E102" s="96">
        <f>F102+O102</f>
        <v>1300000</v>
      </c>
      <c r="F102" s="96"/>
      <c r="G102" s="71"/>
      <c r="H102" s="71"/>
      <c r="I102" s="71"/>
      <c r="J102" s="71"/>
      <c r="K102" s="71"/>
      <c r="L102" s="71"/>
      <c r="M102" s="169"/>
      <c r="N102" s="169"/>
      <c r="O102" s="96">
        <f>'zał 11'!E41</f>
        <v>1300000</v>
      </c>
    </row>
    <row r="103" spans="1:15" ht="15.75">
      <c r="A103" s="94"/>
      <c r="B103" s="94">
        <v>75421</v>
      </c>
      <c r="C103" s="94"/>
      <c r="D103" s="66" t="s">
        <v>528</v>
      </c>
      <c r="E103" s="88">
        <f aca="true" t="shared" si="22" ref="E103:O103">E104</f>
        <v>115000</v>
      </c>
      <c r="F103" s="88">
        <f t="shared" si="22"/>
        <v>115000</v>
      </c>
      <c r="G103" s="88">
        <f t="shared" si="22"/>
        <v>0</v>
      </c>
      <c r="H103" s="88">
        <f t="shared" si="22"/>
        <v>0</v>
      </c>
      <c r="I103" s="88">
        <f t="shared" si="22"/>
        <v>0</v>
      </c>
      <c r="J103" s="88">
        <f t="shared" si="22"/>
        <v>0</v>
      </c>
      <c r="K103" s="88">
        <f t="shared" si="22"/>
        <v>0</v>
      </c>
      <c r="L103" s="88">
        <f t="shared" si="22"/>
        <v>0</v>
      </c>
      <c r="M103" s="88">
        <f t="shared" si="22"/>
        <v>0</v>
      </c>
      <c r="N103" s="88">
        <f t="shared" si="22"/>
        <v>0</v>
      </c>
      <c r="O103" s="88">
        <f t="shared" si="22"/>
        <v>0</v>
      </c>
    </row>
    <row r="104" spans="1:15" ht="15.75">
      <c r="A104" s="94"/>
      <c r="B104" s="95"/>
      <c r="C104" s="95">
        <v>4810</v>
      </c>
      <c r="D104" s="1" t="s">
        <v>529</v>
      </c>
      <c r="E104" s="96">
        <f>F104+O104</f>
        <v>115000</v>
      </c>
      <c r="F104" s="96">
        <v>115000</v>
      </c>
      <c r="G104" s="71"/>
      <c r="H104" s="71"/>
      <c r="I104" s="71"/>
      <c r="J104" s="71"/>
      <c r="K104" s="71"/>
      <c r="L104" s="71"/>
      <c r="M104" s="169"/>
      <c r="N104" s="169"/>
      <c r="O104" s="71"/>
    </row>
    <row r="105" spans="1:15" ht="78.75">
      <c r="A105" s="64">
        <v>756</v>
      </c>
      <c r="B105" s="64"/>
      <c r="C105" s="64"/>
      <c r="D105" s="64" t="s">
        <v>530</v>
      </c>
      <c r="E105" s="93">
        <f aca="true" t="shared" si="23" ref="E105:O105">E106</f>
        <v>63500</v>
      </c>
      <c r="F105" s="93">
        <f t="shared" si="23"/>
        <v>63500</v>
      </c>
      <c r="G105" s="93">
        <f t="shared" si="23"/>
        <v>51500</v>
      </c>
      <c r="H105" s="93">
        <f t="shared" si="23"/>
        <v>0</v>
      </c>
      <c r="I105" s="93">
        <f t="shared" si="23"/>
        <v>0</v>
      </c>
      <c r="J105" s="93">
        <f t="shared" si="23"/>
        <v>0</v>
      </c>
      <c r="K105" s="93">
        <f t="shared" si="23"/>
        <v>0</v>
      </c>
      <c r="L105" s="93">
        <f t="shared" si="23"/>
        <v>0</v>
      </c>
      <c r="M105" s="93">
        <f t="shared" si="23"/>
        <v>0</v>
      </c>
      <c r="N105" s="93">
        <f t="shared" si="23"/>
        <v>0</v>
      </c>
      <c r="O105" s="93">
        <f t="shared" si="23"/>
        <v>0</v>
      </c>
    </row>
    <row r="106" spans="1:15" ht="31.5">
      <c r="A106" s="94"/>
      <c r="B106" s="94">
        <v>75647</v>
      </c>
      <c r="C106" s="94"/>
      <c r="D106" s="167" t="s">
        <v>531</v>
      </c>
      <c r="E106" s="88">
        <f aca="true" t="shared" si="24" ref="E106:O106">SUM(E107:E108)</f>
        <v>63500</v>
      </c>
      <c r="F106" s="88">
        <f t="shared" si="24"/>
        <v>63500</v>
      </c>
      <c r="G106" s="88">
        <f t="shared" si="24"/>
        <v>51500</v>
      </c>
      <c r="H106" s="88">
        <f t="shared" si="24"/>
        <v>0</v>
      </c>
      <c r="I106" s="88">
        <f t="shared" si="24"/>
        <v>0</v>
      </c>
      <c r="J106" s="88">
        <f t="shared" si="24"/>
        <v>0</v>
      </c>
      <c r="K106" s="88">
        <f t="shared" si="24"/>
        <v>0</v>
      </c>
      <c r="L106" s="88">
        <f t="shared" si="24"/>
        <v>0</v>
      </c>
      <c r="M106" s="88">
        <f t="shared" si="24"/>
        <v>0</v>
      </c>
      <c r="N106" s="88">
        <f t="shared" si="24"/>
        <v>0</v>
      </c>
      <c r="O106" s="88">
        <f t="shared" si="24"/>
        <v>0</v>
      </c>
    </row>
    <row r="107" spans="1:15" ht="15.75">
      <c r="A107" s="94"/>
      <c r="B107" s="95"/>
      <c r="C107" s="95">
        <v>4100</v>
      </c>
      <c r="D107" s="109" t="s">
        <v>532</v>
      </c>
      <c r="E107" s="96">
        <f>F107+O107</f>
        <v>51500</v>
      </c>
      <c r="F107" s="71">
        <f>SUM(G107:N107)</f>
        <v>51500</v>
      </c>
      <c r="G107" s="96">
        <v>51500</v>
      </c>
      <c r="H107" s="71"/>
      <c r="I107" s="71"/>
      <c r="J107" s="71"/>
      <c r="K107" s="71"/>
      <c r="L107" s="71"/>
      <c r="M107" s="169"/>
      <c r="N107" s="169"/>
      <c r="O107" s="71"/>
    </row>
    <row r="108" spans="1:15" ht="15.75">
      <c r="A108" s="94"/>
      <c r="B108" s="95"/>
      <c r="C108" s="95">
        <v>4300</v>
      </c>
      <c r="D108" s="109" t="s">
        <v>481</v>
      </c>
      <c r="E108" s="96">
        <f>F108+O108</f>
        <v>12000</v>
      </c>
      <c r="F108" s="96">
        <v>12000</v>
      </c>
      <c r="G108" s="71"/>
      <c r="H108" s="71"/>
      <c r="I108" s="71"/>
      <c r="J108" s="71"/>
      <c r="K108" s="71"/>
      <c r="L108" s="71"/>
      <c r="M108" s="169"/>
      <c r="N108" s="169"/>
      <c r="O108" s="71"/>
    </row>
    <row r="109" spans="1:15" ht="15.75">
      <c r="A109" s="64">
        <v>757</v>
      </c>
      <c r="B109" s="64"/>
      <c r="C109" s="64"/>
      <c r="D109" s="64" t="s">
        <v>533</v>
      </c>
      <c r="E109" s="93">
        <f aca="true" t="shared" si="25" ref="E109:O109">E110</f>
        <v>1025521</v>
      </c>
      <c r="F109" s="93">
        <f t="shared" si="25"/>
        <v>1025521</v>
      </c>
      <c r="G109" s="93">
        <f t="shared" si="25"/>
        <v>0</v>
      </c>
      <c r="H109" s="93">
        <f t="shared" si="25"/>
        <v>0</v>
      </c>
      <c r="I109" s="93">
        <f t="shared" si="25"/>
        <v>0</v>
      </c>
      <c r="J109" s="93">
        <f t="shared" si="25"/>
        <v>0</v>
      </c>
      <c r="K109" s="93">
        <f t="shared" si="25"/>
        <v>0</v>
      </c>
      <c r="L109" s="93">
        <f t="shared" si="25"/>
        <v>0</v>
      </c>
      <c r="M109" s="93">
        <f t="shared" si="25"/>
        <v>1025521</v>
      </c>
      <c r="N109" s="93">
        <f t="shared" si="25"/>
        <v>0</v>
      </c>
      <c r="O109" s="93">
        <f t="shared" si="25"/>
        <v>0</v>
      </c>
    </row>
    <row r="110" spans="1:15" ht="31.5">
      <c r="A110" s="94"/>
      <c r="B110" s="94">
        <v>75702</v>
      </c>
      <c r="C110" s="94"/>
      <c r="D110" s="66" t="s">
        <v>534</v>
      </c>
      <c r="E110" s="88">
        <f aca="true" t="shared" si="26" ref="E110:O110">SUM(E111:E113)</f>
        <v>1025521</v>
      </c>
      <c r="F110" s="88">
        <f t="shared" si="26"/>
        <v>1025521</v>
      </c>
      <c r="G110" s="88">
        <f t="shared" si="26"/>
        <v>0</v>
      </c>
      <c r="H110" s="88">
        <f t="shared" si="26"/>
        <v>0</v>
      </c>
      <c r="I110" s="88">
        <f t="shared" si="26"/>
        <v>0</v>
      </c>
      <c r="J110" s="88">
        <f t="shared" si="26"/>
        <v>0</v>
      </c>
      <c r="K110" s="88">
        <f t="shared" si="26"/>
        <v>0</v>
      </c>
      <c r="L110" s="88">
        <f t="shared" si="26"/>
        <v>0</v>
      </c>
      <c r="M110" s="88">
        <f t="shared" si="26"/>
        <v>1025521</v>
      </c>
      <c r="N110" s="88">
        <f t="shared" si="26"/>
        <v>0</v>
      </c>
      <c r="O110" s="88">
        <f t="shared" si="26"/>
        <v>0</v>
      </c>
    </row>
    <row r="111" spans="1:15" ht="31.5">
      <c r="A111" s="94"/>
      <c r="B111" s="95"/>
      <c r="C111" s="95">
        <v>8010</v>
      </c>
      <c r="D111" s="3" t="s">
        <v>535</v>
      </c>
      <c r="E111" s="96">
        <f>F111+O111</f>
        <v>140000</v>
      </c>
      <c r="F111" s="71">
        <f>SUM(G111:N111)</f>
        <v>140000</v>
      </c>
      <c r="G111" s="71"/>
      <c r="H111" s="71"/>
      <c r="I111" s="71"/>
      <c r="J111" s="71"/>
      <c r="K111" s="71"/>
      <c r="L111" s="71"/>
      <c r="M111" s="96">
        <f>14000000*0.01</f>
        <v>140000</v>
      </c>
      <c r="N111" s="169"/>
      <c r="O111" s="71"/>
    </row>
    <row r="112" spans="1:15" ht="63">
      <c r="A112" s="94"/>
      <c r="B112" s="95"/>
      <c r="C112" s="95">
        <v>8070</v>
      </c>
      <c r="D112" s="1" t="s">
        <v>536</v>
      </c>
      <c r="E112" s="96">
        <f>F112+O112</f>
        <v>426321</v>
      </c>
      <c r="F112" s="71">
        <f>M112</f>
        <v>426321</v>
      </c>
      <c r="G112" s="71"/>
      <c r="H112" s="71"/>
      <c r="I112" s="71"/>
      <c r="J112" s="71"/>
      <c r="K112" s="71"/>
      <c r="L112" s="71"/>
      <c r="M112" s="96">
        <v>426321</v>
      </c>
      <c r="N112" s="169"/>
      <c r="O112" s="71"/>
    </row>
    <row r="113" spans="1:15" ht="31.5">
      <c r="A113" s="94"/>
      <c r="B113" s="95"/>
      <c r="C113" s="95">
        <v>8110</v>
      </c>
      <c r="D113" s="3" t="s">
        <v>537</v>
      </c>
      <c r="E113" s="96">
        <f>F113+O113</f>
        <v>459200</v>
      </c>
      <c r="F113" s="71">
        <f>SUM(G113:N113)</f>
        <v>459200</v>
      </c>
      <c r="G113" s="71"/>
      <c r="H113" s="71"/>
      <c r="I113" s="71"/>
      <c r="J113" s="71"/>
      <c r="K113" s="71"/>
      <c r="L113" s="71"/>
      <c r="M113" s="96">
        <v>459200</v>
      </c>
      <c r="N113" s="169"/>
      <c r="O113" s="71"/>
    </row>
    <row r="114" spans="1:15" ht="15.75">
      <c r="A114" s="64">
        <v>758</v>
      </c>
      <c r="B114" s="64"/>
      <c r="C114" s="64"/>
      <c r="D114" s="64" t="s">
        <v>393</v>
      </c>
      <c r="E114" s="93">
        <f aca="true" t="shared" si="27" ref="E114:O114">E115+E117</f>
        <v>506000</v>
      </c>
      <c r="F114" s="93">
        <f t="shared" si="27"/>
        <v>506000</v>
      </c>
      <c r="G114" s="93">
        <f t="shared" si="27"/>
        <v>0</v>
      </c>
      <c r="H114" s="93">
        <f t="shared" si="27"/>
        <v>0</v>
      </c>
      <c r="I114" s="93">
        <f t="shared" si="27"/>
        <v>0</v>
      </c>
      <c r="J114" s="93">
        <f t="shared" si="27"/>
        <v>0</v>
      </c>
      <c r="K114" s="93">
        <f t="shared" si="27"/>
        <v>0</v>
      </c>
      <c r="L114" s="93">
        <f t="shared" si="27"/>
        <v>0</v>
      </c>
      <c r="M114" s="93">
        <f t="shared" si="27"/>
        <v>0</v>
      </c>
      <c r="N114" s="93">
        <f t="shared" si="27"/>
        <v>0</v>
      </c>
      <c r="O114" s="93">
        <f t="shared" si="27"/>
        <v>0</v>
      </c>
    </row>
    <row r="115" spans="1:15" ht="15.75">
      <c r="A115" s="94"/>
      <c r="B115" s="94">
        <v>75814</v>
      </c>
      <c r="C115" s="94"/>
      <c r="D115" s="66" t="s">
        <v>538</v>
      </c>
      <c r="E115" s="88">
        <f aca="true" t="shared" si="28" ref="E115:O115">E116</f>
        <v>450000</v>
      </c>
      <c r="F115" s="88">
        <f t="shared" si="28"/>
        <v>450000</v>
      </c>
      <c r="G115" s="88">
        <f t="shared" si="28"/>
        <v>0</v>
      </c>
      <c r="H115" s="88">
        <f t="shared" si="28"/>
        <v>0</v>
      </c>
      <c r="I115" s="88">
        <f t="shared" si="28"/>
        <v>0</v>
      </c>
      <c r="J115" s="88">
        <f t="shared" si="28"/>
        <v>0</v>
      </c>
      <c r="K115" s="88">
        <f t="shared" si="28"/>
        <v>0</v>
      </c>
      <c r="L115" s="88">
        <f t="shared" si="28"/>
        <v>0</v>
      </c>
      <c r="M115" s="88">
        <f t="shared" si="28"/>
        <v>0</v>
      </c>
      <c r="N115" s="88">
        <f t="shared" si="28"/>
        <v>0</v>
      </c>
      <c r="O115" s="88">
        <f t="shared" si="28"/>
        <v>0</v>
      </c>
    </row>
    <row r="116" spans="1:15" ht="31.5">
      <c r="A116" s="94"/>
      <c r="B116" s="95"/>
      <c r="C116" s="95" t="s">
        <v>539</v>
      </c>
      <c r="D116" s="1" t="s">
        <v>540</v>
      </c>
      <c r="E116" s="96">
        <f>F116+O116</f>
        <v>450000</v>
      </c>
      <c r="F116" s="96">
        <v>450000</v>
      </c>
      <c r="G116" s="71"/>
      <c r="H116" s="71"/>
      <c r="I116" s="71"/>
      <c r="J116" s="71"/>
      <c r="K116" s="71"/>
      <c r="L116" s="71"/>
      <c r="M116" s="169"/>
      <c r="N116" s="169"/>
      <c r="O116" s="71"/>
    </row>
    <row r="117" spans="1:15" ht="15.75">
      <c r="A117" s="94"/>
      <c r="B117" s="94">
        <v>75818</v>
      </c>
      <c r="C117" s="94"/>
      <c r="D117" s="66" t="s">
        <v>541</v>
      </c>
      <c r="E117" s="88">
        <f aca="true" t="shared" si="29" ref="E117:O117">E118</f>
        <v>56000</v>
      </c>
      <c r="F117" s="88">
        <f t="shared" si="29"/>
        <v>56000</v>
      </c>
      <c r="G117" s="88">
        <f t="shared" si="29"/>
        <v>0</v>
      </c>
      <c r="H117" s="88">
        <f t="shared" si="29"/>
        <v>0</v>
      </c>
      <c r="I117" s="88">
        <f t="shared" si="29"/>
        <v>0</v>
      </c>
      <c r="J117" s="88">
        <f t="shared" si="29"/>
        <v>0</v>
      </c>
      <c r="K117" s="88">
        <f t="shared" si="29"/>
        <v>0</v>
      </c>
      <c r="L117" s="88">
        <f t="shared" si="29"/>
        <v>0</v>
      </c>
      <c r="M117" s="88">
        <f t="shared" si="29"/>
        <v>0</v>
      </c>
      <c r="N117" s="88">
        <f t="shared" si="29"/>
        <v>0</v>
      </c>
      <c r="O117" s="88">
        <f t="shared" si="29"/>
        <v>0</v>
      </c>
    </row>
    <row r="118" spans="1:15" ht="15.75">
      <c r="A118" s="94"/>
      <c r="B118" s="95"/>
      <c r="C118" s="95">
        <v>4810</v>
      </c>
      <c r="D118" s="1" t="s">
        <v>542</v>
      </c>
      <c r="E118" s="96">
        <f>F118+O118</f>
        <v>56000</v>
      </c>
      <c r="F118" s="71">
        <v>56000</v>
      </c>
      <c r="G118" s="71"/>
      <c r="H118" s="71"/>
      <c r="I118" s="71"/>
      <c r="J118" s="71"/>
      <c r="K118" s="71"/>
      <c r="L118" s="71"/>
      <c r="M118" s="169"/>
      <c r="N118" s="169"/>
      <c r="O118" s="71"/>
    </row>
    <row r="119" spans="1:16" ht="15.75">
      <c r="A119" s="64">
        <v>801</v>
      </c>
      <c r="B119" s="64"/>
      <c r="C119" s="64"/>
      <c r="D119" s="64" t="s">
        <v>399</v>
      </c>
      <c r="E119" s="93">
        <f aca="true" t="shared" si="30" ref="E119:O119">E120+E143+E154+E177+E198+E213+E219+E235</f>
        <v>20548696.322318997</v>
      </c>
      <c r="F119" s="93">
        <f t="shared" si="30"/>
        <v>19953696.322318997</v>
      </c>
      <c r="G119" s="93">
        <f t="shared" si="30"/>
        <v>12757435</v>
      </c>
      <c r="H119" s="93">
        <f t="shared" si="30"/>
        <v>2233270.8728</v>
      </c>
      <c r="I119" s="93">
        <f t="shared" si="30"/>
        <v>2634945.324689</v>
      </c>
      <c r="J119" s="93">
        <f t="shared" si="30"/>
        <v>626270</v>
      </c>
      <c r="K119" s="93">
        <f t="shared" si="30"/>
        <v>91874</v>
      </c>
      <c r="L119" s="93">
        <f t="shared" si="30"/>
        <v>0</v>
      </c>
      <c r="M119" s="93">
        <f t="shared" si="30"/>
        <v>0</v>
      </c>
      <c r="N119" s="93">
        <f t="shared" si="30"/>
        <v>0</v>
      </c>
      <c r="O119" s="93">
        <f t="shared" si="30"/>
        <v>595000</v>
      </c>
      <c r="P119" s="174"/>
    </row>
    <row r="120" spans="1:16" ht="15.75">
      <c r="A120" s="94"/>
      <c r="B120" s="94">
        <v>80101</v>
      </c>
      <c r="C120" s="94"/>
      <c r="D120" s="66" t="s">
        <v>400</v>
      </c>
      <c r="E120" s="88">
        <f aca="true" t="shared" si="31" ref="E120:O120">SUM(E121:E142)</f>
        <v>7625626.1415099995</v>
      </c>
      <c r="F120" s="88">
        <f t="shared" si="31"/>
        <v>7036126.1415099995</v>
      </c>
      <c r="G120" s="88">
        <f t="shared" si="31"/>
        <v>5183783</v>
      </c>
      <c r="H120" s="88">
        <f t="shared" si="31"/>
        <v>910052.6636000001</v>
      </c>
      <c r="I120" s="88">
        <f t="shared" si="31"/>
        <v>886478.47791</v>
      </c>
      <c r="J120" s="88">
        <f t="shared" si="31"/>
        <v>0</v>
      </c>
      <c r="K120" s="88">
        <f t="shared" si="31"/>
        <v>55812</v>
      </c>
      <c r="L120" s="88">
        <f t="shared" si="31"/>
        <v>0</v>
      </c>
      <c r="M120" s="88">
        <f t="shared" si="31"/>
        <v>0</v>
      </c>
      <c r="N120" s="88">
        <f t="shared" si="31"/>
        <v>0</v>
      </c>
      <c r="O120" s="88">
        <f t="shared" si="31"/>
        <v>589500</v>
      </c>
      <c r="P120" s="175">
        <f>E120+E143+E177</f>
        <v>14020573.775929</v>
      </c>
    </row>
    <row r="121" spans="1:16" ht="21.75" customHeight="1">
      <c r="A121" s="95"/>
      <c r="B121" s="95"/>
      <c r="C121" s="95">
        <v>3020</v>
      </c>
      <c r="D121" s="1" t="s">
        <v>543</v>
      </c>
      <c r="E121" s="96">
        <f aca="true" t="shared" si="32" ref="E121:E141">F121</f>
        <v>55162</v>
      </c>
      <c r="F121" s="96">
        <f>K121</f>
        <v>55162</v>
      </c>
      <c r="G121" s="96"/>
      <c r="H121" s="96"/>
      <c r="I121" s="96"/>
      <c r="J121" s="96"/>
      <c r="K121" s="96">
        <f>'zał 15'!E10+'zał 16'!E11+'zał 17'!E10</f>
        <v>55162</v>
      </c>
      <c r="L121" s="96"/>
      <c r="M121" s="96"/>
      <c r="N121" s="96"/>
      <c r="O121" s="96"/>
      <c r="P121" s="175">
        <f>'zał 2'!E73</f>
        <v>9884836</v>
      </c>
    </row>
    <row r="122" spans="1:16" ht="15.75">
      <c r="A122" s="94"/>
      <c r="B122" s="95"/>
      <c r="C122" s="95">
        <v>3050</v>
      </c>
      <c r="D122" s="1" t="s">
        <v>544</v>
      </c>
      <c r="E122" s="96">
        <f t="shared" si="32"/>
        <v>650</v>
      </c>
      <c r="F122" s="96">
        <f>K122</f>
        <v>650</v>
      </c>
      <c r="G122" s="96"/>
      <c r="H122" s="96"/>
      <c r="I122" s="96"/>
      <c r="J122" s="96"/>
      <c r="K122" s="96">
        <f>'zał 15'!E11+'zał 16'!E12+'zał 17'!E11</f>
        <v>650</v>
      </c>
      <c r="L122" s="96"/>
      <c r="M122" s="96"/>
      <c r="N122" s="96"/>
      <c r="O122" s="96"/>
      <c r="P122" s="175">
        <f>P120-P121</f>
        <v>4135737.775929</v>
      </c>
    </row>
    <row r="123" spans="1:15" ht="15.75">
      <c r="A123" s="94"/>
      <c r="B123" s="95"/>
      <c r="C123" s="95">
        <v>4010</v>
      </c>
      <c r="D123" s="1" t="s">
        <v>545</v>
      </c>
      <c r="E123" s="96">
        <f t="shared" si="32"/>
        <v>4805496</v>
      </c>
      <c r="F123" s="96">
        <f>G123</f>
        <v>4805496</v>
      </c>
      <c r="G123" s="96">
        <f>'zał 15'!G12+'zał 16'!G13+'zał 17'!E12</f>
        <v>4805496</v>
      </c>
      <c r="H123" s="96"/>
      <c r="I123" s="96"/>
      <c r="J123" s="96"/>
      <c r="K123" s="96"/>
      <c r="L123" s="96"/>
      <c r="M123" s="96"/>
      <c r="N123" s="96"/>
      <c r="O123" s="96"/>
    </row>
    <row r="124" spans="1:15" ht="15.75">
      <c r="A124" s="94"/>
      <c r="B124" s="95"/>
      <c r="C124" s="95">
        <v>4040</v>
      </c>
      <c r="D124" s="1" t="s">
        <v>501</v>
      </c>
      <c r="E124" s="96">
        <f t="shared" si="32"/>
        <v>378287</v>
      </c>
      <c r="F124" s="96">
        <f>G124</f>
        <v>378287</v>
      </c>
      <c r="G124" s="96">
        <f>'zał 15'!G13+'zał 16'!G14+'zał 17'!E13</f>
        <v>378287</v>
      </c>
      <c r="H124" s="96"/>
      <c r="I124" s="96"/>
      <c r="J124" s="96"/>
      <c r="K124" s="96"/>
      <c r="L124" s="96"/>
      <c r="M124" s="96"/>
      <c r="N124" s="96"/>
      <c r="O124" s="96"/>
    </row>
    <row r="125" spans="1:15" ht="15.75">
      <c r="A125" s="94"/>
      <c r="B125" s="95"/>
      <c r="C125" s="95">
        <v>4110</v>
      </c>
      <c r="D125" s="1" t="s">
        <v>502</v>
      </c>
      <c r="E125" s="96">
        <f t="shared" si="32"/>
        <v>783680.2381000001</v>
      </c>
      <c r="F125" s="96">
        <f>H125</f>
        <v>783680.2381000001</v>
      </c>
      <c r="G125" s="96"/>
      <c r="H125" s="96">
        <f>'zał 15'!H14+'zał 16'!H15+'zał 17'!E14</f>
        <v>783680.2381000001</v>
      </c>
      <c r="I125" s="96"/>
      <c r="J125" s="96"/>
      <c r="K125" s="96"/>
      <c r="L125" s="96"/>
      <c r="M125" s="96"/>
      <c r="N125" s="96"/>
      <c r="O125" s="96"/>
    </row>
    <row r="126" spans="1:15" ht="15.75">
      <c r="A126" s="94"/>
      <c r="B126" s="95"/>
      <c r="C126" s="95">
        <v>4120</v>
      </c>
      <c r="D126" s="1" t="s">
        <v>503</v>
      </c>
      <c r="E126" s="96">
        <f t="shared" si="32"/>
        <v>126372.4255</v>
      </c>
      <c r="F126" s="96">
        <f>H126</f>
        <v>126372.4255</v>
      </c>
      <c r="G126" s="96"/>
      <c r="H126" s="96">
        <f>'zał 15'!H15+'zał 16'!H16+'zał 17'!E15</f>
        <v>126372.4255</v>
      </c>
      <c r="I126" s="96"/>
      <c r="J126" s="96"/>
      <c r="K126" s="96"/>
      <c r="L126" s="96"/>
      <c r="M126" s="96"/>
      <c r="N126" s="96"/>
      <c r="O126" s="96"/>
    </row>
    <row r="127" spans="1:15" ht="15.75">
      <c r="A127" s="94"/>
      <c r="B127" s="95"/>
      <c r="C127" s="95">
        <v>4170</v>
      </c>
      <c r="D127" s="1" t="s">
        <v>505</v>
      </c>
      <c r="E127" s="96">
        <f t="shared" si="32"/>
        <v>0</v>
      </c>
      <c r="F127" s="96">
        <f>'zał 15'!E16+'zał 16'!E17+'zał 17'!E16</f>
        <v>0</v>
      </c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1:16" ht="15.75">
      <c r="A128" s="94"/>
      <c r="B128" s="95"/>
      <c r="C128" s="95">
        <v>4210</v>
      </c>
      <c r="D128" s="1" t="s">
        <v>485</v>
      </c>
      <c r="E128" s="96">
        <f t="shared" si="32"/>
        <v>48000</v>
      </c>
      <c r="F128" s="96">
        <f aca="true" t="shared" si="33" ref="F128:F141">I128</f>
        <v>48000</v>
      </c>
      <c r="G128" s="96"/>
      <c r="H128" s="96"/>
      <c r="I128" s="96">
        <f>'zał 15'!E17+'zał 16'!E18+'zał 17'!E17</f>
        <v>48000</v>
      </c>
      <c r="J128" s="96"/>
      <c r="K128" s="96"/>
      <c r="L128" s="96"/>
      <c r="M128" s="96"/>
      <c r="N128" s="96"/>
      <c r="O128" s="96"/>
      <c r="P128" s="176"/>
    </row>
    <row r="129" spans="1:15" ht="31.5">
      <c r="A129" s="95"/>
      <c r="B129" s="95"/>
      <c r="C129" s="95">
        <v>4240</v>
      </c>
      <c r="D129" s="1" t="s">
        <v>546</v>
      </c>
      <c r="E129" s="96">
        <f t="shared" si="32"/>
        <v>12000</v>
      </c>
      <c r="F129" s="96">
        <f t="shared" si="33"/>
        <v>12000</v>
      </c>
      <c r="G129" s="96"/>
      <c r="H129" s="96"/>
      <c r="I129" s="96">
        <f>'zał 15'!E18+'zał 16'!E19+'zał 17'!E18</f>
        <v>12000</v>
      </c>
      <c r="J129" s="96"/>
      <c r="K129" s="96"/>
      <c r="L129" s="96"/>
      <c r="M129" s="96"/>
      <c r="N129" s="96"/>
      <c r="O129" s="96"/>
    </row>
    <row r="130" spans="1:15" ht="15.75">
      <c r="A130" s="95"/>
      <c r="B130" s="95"/>
      <c r="C130" s="95">
        <v>4260</v>
      </c>
      <c r="D130" s="1" t="s">
        <v>547</v>
      </c>
      <c r="E130" s="96">
        <f t="shared" si="32"/>
        <v>424500</v>
      </c>
      <c r="F130" s="96">
        <f t="shared" si="33"/>
        <v>424500</v>
      </c>
      <c r="G130" s="96"/>
      <c r="H130" s="96"/>
      <c r="I130" s="96">
        <f>'zał 15'!E19+'zał 16'!E20+'zał 17'!E19</f>
        <v>424500</v>
      </c>
      <c r="J130" s="96"/>
      <c r="K130" s="96"/>
      <c r="L130" s="96"/>
      <c r="M130" s="96"/>
      <c r="N130" s="96"/>
      <c r="O130" s="96"/>
    </row>
    <row r="131" spans="1:15" ht="15.75">
      <c r="A131" s="95"/>
      <c r="B131" s="95"/>
      <c r="C131" s="95">
        <v>4270</v>
      </c>
      <c r="D131" s="1" t="s">
        <v>489</v>
      </c>
      <c r="E131" s="96">
        <f t="shared" si="32"/>
        <v>40000</v>
      </c>
      <c r="F131" s="96">
        <f t="shared" si="33"/>
        <v>40000</v>
      </c>
      <c r="G131" s="96"/>
      <c r="H131" s="96"/>
      <c r="I131" s="96">
        <f>'zał 15'!E20+'zał 16'!E21+'zał 17'!E20</f>
        <v>40000</v>
      </c>
      <c r="J131" s="96"/>
      <c r="K131" s="96"/>
      <c r="L131" s="96"/>
      <c r="M131" s="96"/>
      <c r="N131" s="96"/>
      <c r="O131" s="96"/>
    </row>
    <row r="132" spans="1:15" ht="15.75">
      <c r="A132" s="95"/>
      <c r="B132" s="95"/>
      <c r="C132" s="95">
        <v>4280</v>
      </c>
      <c r="D132" s="1" t="s">
        <v>548</v>
      </c>
      <c r="E132" s="96">
        <f t="shared" si="32"/>
        <v>6236</v>
      </c>
      <c r="F132" s="96">
        <f t="shared" si="33"/>
        <v>6236</v>
      </c>
      <c r="G132" s="71"/>
      <c r="H132" s="71"/>
      <c r="I132" s="96">
        <f>'zał 15'!E21+'zał 16'!E22+'zał 17'!E21</f>
        <v>6236</v>
      </c>
      <c r="J132" s="71"/>
      <c r="K132" s="71"/>
      <c r="L132" s="71"/>
      <c r="M132" s="169"/>
      <c r="N132" s="169"/>
      <c r="O132" s="71"/>
    </row>
    <row r="133" spans="1:15" ht="15.75">
      <c r="A133" s="95"/>
      <c r="B133" s="95"/>
      <c r="C133" s="95">
        <v>4300</v>
      </c>
      <c r="D133" s="1" t="s">
        <v>481</v>
      </c>
      <c r="E133" s="96">
        <f t="shared" si="32"/>
        <v>67392</v>
      </c>
      <c r="F133" s="96">
        <f t="shared" si="33"/>
        <v>67392</v>
      </c>
      <c r="G133" s="96"/>
      <c r="H133" s="96"/>
      <c r="I133" s="96">
        <f>'zał 15'!E22+'zał 16'!E23+'zał 17'!E22</f>
        <v>67392</v>
      </c>
      <c r="J133" s="96"/>
      <c r="K133" s="96"/>
      <c r="L133" s="96"/>
      <c r="M133" s="96"/>
      <c r="N133" s="96"/>
      <c r="O133" s="96"/>
    </row>
    <row r="134" spans="1:15" ht="15.75">
      <c r="A134" s="95"/>
      <c r="B134" s="95"/>
      <c r="C134" s="95">
        <v>4350</v>
      </c>
      <c r="D134" s="1" t="s">
        <v>510</v>
      </c>
      <c r="E134" s="96">
        <f t="shared" si="32"/>
        <v>2255</v>
      </c>
      <c r="F134" s="96">
        <f t="shared" si="33"/>
        <v>2255</v>
      </c>
      <c r="G134" s="71"/>
      <c r="H134" s="71"/>
      <c r="I134" s="96">
        <f>'zał 15'!E23+'zał 16'!E24+'zał 17'!E23</f>
        <v>2255</v>
      </c>
      <c r="J134" s="71"/>
      <c r="K134" s="71"/>
      <c r="L134" s="71"/>
      <c r="M134" s="169"/>
      <c r="N134" s="169"/>
      <c r="O134" s="71"/>
    </row>
    <row r="135" spans="1:15" ht="31.5">
      <c r="A135" s="95"/>
      <c r="B135" s="95"/>
      <c r="C135" s="95">
        <v>4370</v>
      </c>
      <c r="D135" s="1" t="s">
        <v>549</v>
      </c>
      <c r="E135" s="96">
        <f t="shared" si="32"/>
        <v>9191</v>
      </c>
      <c r="F135" s="96">
        <f t="shared" si="33"/>
        <v>9191</v>
      </c>
      <c r="G135" s="96"/>
      <c r="H135" s="96"/>
      <c r="I135" s="96">
        <f>'zał 15'!E24+'zał 16'!E25+'zał 17'!E24</f>
        <v>9191</v>
      </c>
      <c r="J135" s="96"/>
      <c r="K135" s="96"/>
      <c r="L135" s="96"/>
      <c r="M135" s="96"/>
      <c r="N135" s="96"/>
      <c r="O135" s="96"/>
    </row>
    <row r="136" spans="1:15" ht="15.75">
      <c r="A136" s="95"/>
      <c r="B136" s="95"/>
      <c r="C136" s="95">
        <v>4410</v>
      </c>
      <c r="D136" s="1" t="s">
        <v>515</v>
      </c>
      <c r="E136" s="96">
        <f t="shared" si="32"/>
        <v>4028</v>
      </c>
      <c r="F136" s="96">
        <f t="shared" si="33"/>
        <v>4028</v>
      </c>
      <c r="G136" s="96"/>
      <c r="H136" s="96"/>
      <c r="I136" s="96">
        <f>'zał 15'!E25+'zał 16'!E26+'zał 17'!E26</f>
        <v>4028</v>
      </c>
      <c r="J136" s="96"/>
      <c r="K136" s="96"/>
      <c r="L136" s="96"/>
      <c r="M136" s="96"/>
      <c r="N136" s="96"/>
      <c r="O136" s="96"/>
    </row>
    <row r="137" spans="1:15" ht="15.75">
      <c r="A137" s="95"/>
      <c r="B137" s="95"/>
      <c r="C137" s="95">
        <v>4430</v>
      </c>
      <c r="D137" s="1" t="s">
        <v>550</v>
      </c>
      <c r="E137" s="96">
        <f t="shared" si="32"/>
        <v>5407</v>
      </c>
      <c r="F137" s="96">
        <f t="shared" si="33"/>
        <v>5407</v>
      </c>
      <c r="G137" s="96"/>
      <c r="H137" s="96"/>
      <c r="I137" s="96">
        <f>'zał 15'!E26+'zał 16'!E27+'zał 17'!E27</f>
        <v>5407</v>
      </c>
      <c r="J137" s="96"/>
      <c r="K137" s="96"/>
      <c r="L137" s="96"/>
      <c r="M137" s="96"/>
      <c r="N137" s="96"/>
      <c r="O137" s="96"/>
    </row>
    <row r="138" spans="1:15" ht="31.5">
      <c r="A138" s="95"/>
      <c r="B138" s="95"/>
      <c r="C138" s="95">
        <v>4440</v>
      </c>
      <c r="D138" s="1" t="s">
        <v>517</v>
      </c>
      <c r="E138" s="96">
        <f t="shared" si="32"/>
        <v>248950.47791</v>
      </c>
      <c r="F138" s="96">
        <f t="shared" si="33"/>
        <v>248950.47791</v>
      </c>
      <c r="G138" s="96"/>
      <c r="H138" s="96"/>
      <c r="I138" s="96">
        <f>'zał 15'!E28+'zał 16'!E28+'zał 17'!E28</f>
        <v>248950.47791</v>
      </c>
      <c r="J138" s="96"/>
      <c r="K138" s="96"/>
      <c r="L138" s="96"/>
      <c r="M138" s="96"/>
      <c r="N138" s="96"/>
      <c r="O138" s="96"/>
    </row>
    <row r="139" spans="1:15" ht="31.5">
      <c r="A139" s="95"/>
      <c r="B139" s="95"/>
      <c r="C139" s="95">
        <v>4700</v>
      </c>
      <c r="D139" s="1" t="s">
        <v>519</v>
      </c>
      <c r="E139" s="96">
        <f t="shared" si="32"/>
        <v>4700</v>
      </c>
      <c r="F139" s="96">
        <f t="shared" si="33"/>
        <v>4700</v>
      </c>
      <c r="G139" s="96"/>
      <c r="H139" s="96"/>
      <c r="I139" s="96">
        <f>'zał 15'!E29+'zał 16'!E29+'zał 17'!E29</f>
        <v>4700</v>
      </c>
      <c r="J139" s="96"/>
      <c r="K139" s="96"/>
      <c r="L139" s="96"/>
      <c r="M139" s="96"/>
      <c r="N139" s="96"/>
      <c r="O139" s="96"/>
    </row>
    <row r="140" spans="1:15" ht="31.5">
      <c r="A140" s="95"/>
      <c r="B140" s="95"/>
      <c r="C140" s="95">
        <v>4740</v>
      </c>
      <c r="D140" s="1" t="s">
        <v>551</v>
      </c>
      <c r="E140" s="96">
        <f t="shared" si="32"/>
        <v>4087</v>
      </c>
      <c r="F140" s="96">
        <f t="shared" si="33"/>
        <v>4087</v>
      </c>
      <c r="G140" s="96"/>
      <c r="H140" s="96"/>
      <c r="I140" s="96">
        <f>'zał 15'!E30+'zał 16'!E30+'zał 17'!E30</f>
        <v>4087</v>
      </c>
      <c r="J140" s="96"/>
      <c r="K140" s="96"/>
      <c r="L140" s="96"/>
      <c r="M140" s="96"/>
      <c r="N140" s="96"/>
      <c r="O140" s="96"/>
    </row>
    <row r="141" spans="1:15" ht="31.5">
      <c r="A141" s="95"/>
      <c r="B141" s="95"/>
      <c r="C141" s="95">
        <v>4750</v>
      </c>
      <c r="D141" s="1" t="s">
        <v>552</v>
      </c>
      <c r="E141" s="96">
        <f t="shared" si="32"/>
        <v>9732</v>
      </c>
      <c r="F141" s="96">
        <f t="shared" si="33"/>
        <v>9732</v>
      </c>
      <c r="G141" s="96"/>
      <c r="H141" s="96"/>
      <c r="I141" s="96">
        <f>'zał 15'!E31+'zał 16'!E31+'zał 17'!E31</f>
        <v>9732</v>
      </c>
      <c r="J141" s="96"/>
      <c r="K141" s="96"/>
      <c r="L141" s="96"/>
      <c r="M141" s="96"/>
      <c r="N141" s="96"/>
      <c r="O141" s="96"/>
    </row>
    <row r="142" spans="1:15" ht="31.5">
      <c r="A142" s="95"/>
      <c r="B142" s="95"/>
      <c r="C142" s="95">
        <v>6050</v>
      </c>
      <c r="D142" s="1" t="s">
        <v>487</v>
      </c>
      <c r="E142" s="96">
        <f>O142</f>
        <v>589500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>
        <f>'zał 11'!E45</f>
        <v>589500</v>
      </c>
    </row>
    <row r="143" spans="1:15" ht="31.5">
      <c r="A143" s="94"/>
      <c r="B143" s="94">
        <v>80103</v>
      </c>
      <c r="C143" s="94"/>
      <c r="D143" s="66" t="s">
        <v>553</v>
      </c>
      <c r="E143" s="88">
        <f aca="true" t="shared" si="34" ref="E143:O143">SUM(E144:E153)</f>
        <v>311024.7447</v>
      </c>
      <c r="F143" s="88">
        <f t="shared" si="34"/>
        <v>311024.7447</v>
      </c>
      <c r="G143" s="88">
        <f t="shared" si="34"/>
        <v>240231</v>
      </c>
      <c r="H143" s="88">
        <f t="shared" si="34"/>
        <v>42376.515999999996</v>
      </c>
      <c r="I143" s="88">
        <f t="shared" si="34"/>
        <v>24378.2287</v>
      </c>
      <c r="J143" s="88">
        <f t="shared" si="34"/>
        <v>0</v>
      </c>
      <c r="K143" s="88">
        <f t="shared" si="34"/>
        <v>4039</v>
      </c>
      <c r="L143" s="88">
        <f t="shared" si="34"/>
        <v>0</v>
      </c>
      <c r="M143" s="88">
        <f t="shared" si="34"/>
        <v>0</v>
      </c>
      <c r="N143" s="88">
        <f t="shared" si="34"/>
        <v>0</v>
      </c>
      <c r="O143" s="88">
        <f t="shared" si="34"/>
        <v>0</v>
      </c>
    </row>
    <row r="144" spans="1:15" ht="21" customHeight="1">
      <c r="A144" s="95"/>
      <c r="B144" s="95"/>
      <c r="C144" s="95">
        <v>3020</v>
      </c>
      <c r="D144" s="1" t="s">
        <v>543</v>
      </c>
      <c r="E144" s="96">
        <f aca="true" t="shared" si="35" ref="E144:E153">F144</f>
        <v>4039</v>
      </c>
      <c r="F144" s="96">
        <f>K144</f>
        <v>4039</v>
      </c>
      <c r="G144" s="96"/>
      <c r="H144" s="96"/>
      <c r="I144" s="96"/>
      <c r="J144" s="96"/>
      <c r="K144" s="96">
        <f>'zał 15'!E34+'zał 16'!E35+'zał 17'!E34</f>
        <v>4039</v>
      </c>
      <c r="L144" s="96"/>
      <c r="M144" s="96"/>
      <c r="N144" s="96"/>
      <c r="O144" s="96"/>
    </row>
    <row r="145" spans="1:15" ht="15.75">
      <c r="A145" s="95"/>
      <c r="B145" s="95"/>
      <c r="C145" s="95">
        <v>4010</v>
      </c>
      <c r="D145" s="1" t="s">
        <v>554</v>
      </c>
      <c r="E145" s="96">
        <f t="shared" si="35"/>
        <v>226084</v>
      </c>
      <c r="F145" s="96">
        <f>G145</f>
        <v>226084</v>
      </c>
      <c r="G145" s="96">
        <f>'zał 15'!G35+'zał 16'!G36+'zał 17'!E35</f>
        <v>226084</v>
      </c>
      <c r="H145" s="96"/>
      <c r="I145" s="96"/>
      <c r="J145" s="96"/>
      <c r="K145" s="96"/>
      <c r="L145" s="96"/>
      <c r="M145" s="96"/>
      <c r="N145" s="96"/>
      <c r="O145" s="96"/>
    </row>
    <row r="146" spans="1:15" ht="15.75">
      <c r="A146" s="95"/>
      <c r="B146" s="95"/>
      <c r="C146" s="95">
        <v>4040</v>
      </c>
      <c r="D146" s="1" t="s">
        <v>501</v>
      </c>
      <c r="E146" s="96">
        <f t="shared" si="35"/>
        <v>14147</v>
      </c>
      <c r="F146" s="96">
        <f>G146</f>
        <v>14147</v>
      </c>
      <c r="G146" s="96">
        <f>'zał 15'!G36+'zał 16'!G37+'zał 17'!E36</f>
        <v>14147</v>
      </c>
      <c r="H146" s="96"/>
      <c r="I146" s="96"/>
      <c r="J146" s="96"/>
      <c r="K146" s="96"/>
      <c r="L146" s="96"/>
      <c r="M146" s="96"/>
      <c r="N146" s="96"/>
      <c r="O146" s="96"/>
    </row>
    <row r="147" spans="1:15" ht="15.75">
      <c r="A147" s="95"/>
      <c r="B147" s="95"/>
      <c r="C147" s="95">
        <v>4110</v>
      </c>
      <c r="D147" s="1" t="s">
        <v>502</v>
      </c>
      <c r="E147" s="96">
        <f t="shared" si="35"/>
        <v>36490.861</v>
      </c>
      <c r="F147" s="96">
        <f>H147</f>
        <v>36490.861</v>
      </c>
      <c r="G147" s="96"/>
      <c r="H147" s="96">
        <f>'zał 15'!H37+'zał 16'!H38+'zał 17'!H37</f>
        <v>36490.861</v>
      </c>
      <c r="I147" s="96"/>
      <c r="J147" s="96"/>
      <c r="K147" s="96"/>
      <c r="L147" s="96"/>
      <c r="M147" s="96"/>
      <c r="N147" s="96"/>
      <c r="O147" s="96"/>
    </row>
    <row r="148" spans="1:15" ht="15.75">
      <c r="A148" s="95"/>
      <c r="B148" s="95"/>
      <c r="C148" s="95">
        <v>4120</v>
      </c>
      <c r="D148" s="1" t="s">
        <v>503</v>
      </c>
      <c r="E148" s="96">
        <f t="shared" si="35"/>
        <v>5885.655</v>
      </c>
      <c r="F148" s="96">
        <f>H148</f>
        <v>5885.655</v>
      </c>
      <c r="G148" s="96"/>
      <c r="H148" s="96">
        <f>'zał 15'!H38+'zał 16'!H39+'zał 17'!H38</f>
        <v>5885.655</v>
      </c>
      <c r="I148" s="96"/>
      <c r="J148" s="96"/>
      <c r="K148" s="96"/>
      <c r="L148" s="96"/>
      <c r="M148" s="96"/>
      <c r="N148" s="96"/>
      <c r="O148" s="96"/>
    </row>
    <row r="149" spans="1:15" ht="15.75">
      <c r="A149" s="95"/>
      <c r="B149" s="95"/>
      <c r="C149" s="177">
        <v>4210</v>
      </c>
      <c r="D149" s="1" t="s">
        <v>555</v>
      </c>
      <c r="E149" s="96">
        <f t="shared" si="35"/>
        <v>6640</v>
      </c>
      <c r="F149" s="96">
        <f>I149</f>
        <v>6640</v>
      </c>
      <c r="G149" s="96"/>
      <c r="H149" s="96"/>
      <c r="I149" s="96">
        <f>'zał 15'!E39+'zał 16'!E40+'zał 17'!E39</f>
        <v>6640</v>
      </c>
      <c r="J149" s="96"/>
      <c r="K149" s="96"/>
      <c r="L149" s="96"/>
      <c r="M149" s="96"/>
      <c r="N149" s="96"/>
      <c r="O149" s="96"/>
    </row>
    <row r="150" spans="1:15" ht="31.5">
      <c r="A150" s="95"/>
      <c r="B150" s="95"/>
      <c r="C150" s="177">
        <v>4240</v>
      </c>
      <c r="D150" s="1" t="s">
        <v>556</v>
      </c>
      <c r="E150" s="96">
        <f t="shared" si="35"/>
        <v>4200</v>
      </c>
      <c r="F150" s="96">
        <f>I150</f>
        <v>4200</v>
      </c>
      <c r="G150" s="96"/>
      <c r="H150" s="96"/>
      <c r="I150" s="96">
        <f>'zał 15'!E40+'zał 16'!E41+'zał 17'!E40</f>
        <v>4200</v>
      </c>
      <c r="J150" s="96"/>
      <c r="K150" s="96"/>
      <c r="L150" s="96"/>
      <c r="M150" s="96"/>
      <c r="N150" s="96"/>
      <c r="O150" s="96"/>
    </row>
    <row r="151" spans="1:15" ht="15.75">
      <c r="A151" s="95"/>
      <c r="B151" s="95"/>
      <c r="C151" s="95">
        <v>4280</v>
      </c>
      <c r="D151" s="1" t="s">
        <v>548</v>
      </c>
      <c r="E151" s="96">
        <f t="shared" si="35"/>
        <v>50</v>
      </c>
      <c r="F151" s="96">
        <f>I151</f>
        <v>50</v>
      </c>
      <c r="G151" s="96"/>
      <c r="H151" s="96"/>
      <c r="I151" s="96">
        <f>'zał 15'!E41+'zał 16'!E42+'zał 17'!E41</f>
        <v>50</v>
      </c>
      <c r="J151" s="96"/>
      <c r="K151" s="96"/>
      <c r="L151" s="96"/>
      <c r="M151" s="96"/>
      <c r="N151" s="96"/>
      <c r="O151" s="96"/>
    </row>
    <row r="152" spans="1:15" ht="31.5">
      <c r="A152" s="95"/>
      <c r="B152" s="95"/>
      <c r="C152" s="95">
        <v>4440</v>
      </c>
      <c r="D152" s="1" t="s">
        <v>557</v>
      </c>
      <c r="E152" s="96">
        <f t="shared" si="35"/>
        <v>13288.2287</v>
      </c>
      <c r="F152" s="96">
        <f>I152</f>
        <v>13288.2287</v>
      </c>
      <c r="G152" s="96"/>
      <c r="H152" s="96"/>
      <c r="I152" s="96">
        <f>'zał 15'!E42+'zał 16'!E43+'zał 17'!E42</f>
        <v>13288.2287</v>
      </c>
      <c r="J152" s="96"/>
      <c r="K152" s="96"/>
      <c r="L152" s="96"/>
      <c r="M152" s="96"/>
      <c r="N152" s="96"/>
      <c r="O152" s="96"/>
    </row>
    <row r="153" spans="1:15" ht="31.5">
      <c r="A153" s="95"/>
      <c r="B153" s="95"/>
      <c r="C153" s="178">
        <v>4740</v>
      </c>
      <c r="D153" s="179" t="s">
        <v>558</v>
      </c>
      <c r="E153" s="96">
        <f t="shared" si="35"/>
        <v>200</v>
      </c>
      <c r="F153" s="96">
        <f>I153</f>
        <v>200</v>
      </c>
      <c r="G153" s="96"/>
      <c r="H153" s="96"/>
      <c r="I153" s="96">
        <f>'zał 15'!E43+'zał 16'!E44+'zał 17'!E43</f>
        <v>200</v>
      </c>
      <c r="J153" s="96"/>
      <c r="K153" s="96"/>
      <c r="L153" s="96"/>
      <c r="M153" s="96"/>
      <c r="N153" s="96"/>
      <c r="O153" s="96"/>
    </row>
    <row r="154" spans="1:15" ht="15.75">
      <c r="A154" s="94"/>
      <c r="B154" s="94">
        <v>80104</v>
      </c>
      <c r="C154" s="94"/>
      <c r="D154" s="66" t="s">
        <v>559</v>
      </c>
      <c r="E154" s="88">
        <f aca="true" t="shared" si="36" ref="E154:O154">SUM(E155:E176)</f>
        <v>4087298.47556</v>
      </c>
      <c r="F154" s="88">
        <f t="shared" si="36"/>
        <v>4087298.47556</v>
      </c>
      <c r="G154" s="88">
        <f t="shared" si="36"/>
        <v>2293828</v>
      </c>
      <c r="H154" s="88">
        <f t="shared" si="36"/>
        <v>402491.03280000004</v>
      </c>
      <c r="I154" s="88">
        <f t="shared" si="36"/>
        <v>759102.44276</v>
      </c>
      <c r="J154" s="88">
        <f t="shared" si="36"/>
        <v>623270</v>
      </c>
      <c r="K154" s="88">
        <f t="shared" si="36"/>
        <v>8607</v>
      </c>
      <c r="L154" s="88">
        <f t="shared" si="36"/>
        <v>0</v>
      </c>
      <c r="M154" s="88">
        <f t="shared" si="36"/>
        <v>0</v>
      </c>
      <c r="N154" s="88">
        <f t="shared" si="36"/>
        <v>0</v>
      </c>
      <c r="O154" s="88">
        <f t="shared" si="36"/>
        <v>0</v>
      </c>
    </row>
    <row r="155" spans="1:15" ht="31.5">
      <c r="A155" s="95"/>
      <c r="B155" s="95"/>
      <c r="C155" s="95">
        <v>2540</v>
      </c>
      <c r="D155" s="1" t="s">
        <v>560</v>
      </c>
      <c r="E155" s="96">
        <f aca="true" t="shared" si="37" ref="E155:E176">F155</f>
        <v>623270</v>
      </c>
      <c r="F155" s="96">
        <f>J155</f>
        <v>623270</v>
      </c>
      <c r="G155" s="96"/>
      <c r="H155" s="96"/>
      <c r="I155" s="96"/>
      <c r="J155" s="96">
        <f>'zał 25'!E10</f>
        <v>623270</v>
      </c>
      <c r="K155" s="96"/>
      <c r="L155" s="96"/>
      <c r="M155" s="96"/>
      <c r="N155" s="3"/>
      <c r="O155" s="96"/>
    </row>
    <row r="156" spans="1:15" ht="31.5">
      <c r="A156" s="94"/>
      <c r="B156" s="94"/>
      <c r="C156" s="95">
        <v>3020</v>
      </c>
      <c r="D156" s="1" t="s">
        <v>561</v>
      </c>
      <c r="E156" s="96">
        <f t="shared" si="37"/>
        <v>8607</v>
      </c>
      <c r="F156" s="96">
        <f>K156</f>
        <v>8607</v>
      </c>
      <c r="G156" s="96"/>
      <c r="H156" s="96"/>
      <c r="I156" s="96"/>
      <c r="J156" s="2"/>
      <c r="K156" s="2">
        <f>'zał 18'!J12+'zał 19'!J10</f>
        <v>8607</v>
      </c>
      <c r="L156" s="2"/>
      <c r="M156" s="2"/>
      <c r="N156" s="2"/>
      <c r="O156" s="2"/>
    </row>
    <row r="157" spans="1:15" ht="15.75">
      <c r="A157" s="95"/>
      <c r="B157" s="95"/>
      <c r="C157" s="95">
        <v>4010</v>
      </c>
      <c r="D157" s="1" t="s">
        <v>545</v>
      </c>
      <c r="E157" s="96">
        <f t="shared" si="37"/>
        <v>2121120</v>
      </c>
      <c r="F157" s="96">
        <f>G157</f>
        <v>2121120</v>
      </c>
      <c r="G157" s="96">
        <f>'zał 18'!F13+'zał 19'!F11</f>
        <v>2121120</v>
      </c>
      <c r="H157" s="96"/>
      <c r="I157" s="96"/>
      <c r="J157" s="2"/>
      <c r="K157" s="2"/>
      <c r="L157" s="2"/>
      <c r="M157" s="2"/>
      <c r="N157" s="2"/>
      <c r="O157" s="2"/>
    </row>
    <row r="158" spans="1:15" ht="15.75">
      <c r="A158" s="95"/>
      <c r="B158" s="95"/>
      <c r="C158" s="95">
        <v>4040</v>
      </c>
      <c r="D158" s="1" t="s">
        <v>562</v>
      </c>
      <c r="E158" s="96">
        <f t="shared" si="37"/>
        <v>172308</v>
      </c>
      <c r="F158" s="96">
        <f>G158</f>
        <v>172308</v>
      </c>
      <c r="G158" s="96">
        <f>'zał 18'!F14+'zał 19'!F12</f>
        <v>172308</v>
      </c>
      <c r="H158" s="96"/>
      <c r="I158" s="96"/>
      <c r="J158" s="2"/>
      <c r="K158" s="2"/>
      <c r="L158" s="2"/>
      <c r="M158" s="2"/>
      <c r="N158" s="2"/>
      <c r="O158" s="2"/>
    </row>
    <row r="159" spans="1:15" ht="15.75">
      <c r="A159" s="95"/>
      <c r="B159" s="95"/>
      <c r="C159" s="95">
        <v>4110</v>
      </c>
      <c r="D159" s="1" t="s">
        <v>563</v>
      </c>
      <c r="E159" s="96">
        <f t="shared" si="37"/>
        <v>346589.8338</v>
      </c>
      <c r="F159" s="96">
        <f>H159</f>
        <v>346589.8338</v>
      </c>
      <c r="G159" s="96"/>
      <c r="H159" s="96">
        <f>'zał 18'!H15+'zał 19'!H13</f>
        <v>346589.8338</v>
      </c>
      <c r="I159" s="96"/>
      <c r="J159" s="2"/>
      <c r="K159" s="2"/>
      <c r="L159" s="2"/>
      <c r="M159" s="2"/>
      <c r="N159" s="2"/>
      <c r="O159" s="2"/>
    </row>
    <row r="160" spans="1:15" ht="15.75">
      <c r="A160" s="95"/>
      <c r="B160" s="95"/>
      <c r="C160" s="95">
        <v>4120</v>
      </c>
      <c r="D160" s="1" t="s">
        <v>564</v>
      </c>
      <c r="E160" s="96">
        <f t="shared" si="37"/>
        <v>55901.199</v>
      </c>
      <c r="F160" s="96">
        <f>H160</f>
        <v>55901.199</v>
      </c>
      <c r="G160" s="96"/>
      <c r="H160" s="96">
        <f>'zał 18'!H16+'zał 19'!H14</f>
        <v>55901.199</v>
      </c>
      <c r="I160" s="96"/>
      <c r="J160" s="2"/>
      <c r="K160" s="2"/>
      <c r="L160" s="2"/>
      <c r="M160" s="2"/>
      <c r="N160" s="2"/>
      <c r="O160" s="2"/>
    </row>
    <row r="161" spans="1:15" ht="15.75">
      <c r="A161" s="95"/>
      <c r="B161" s="95"/>
      <c r="C161" s="95">
        <v>4170</v>
      </c>
      <c r="D161" s="1" t="s">
        <v>565</v>
      </c>
      <c r="E161" s="96">
        <f t="shared" si="37"/>
        <v>400</v>
      </c>
      <c r="F161" s="96">
        <f>G161</f>
        <v>400</v>
      </c>
      <c r="G161" s="96">
        <f>'zał 18'!F17+'zał 19'!F15</f>
        <v>400</v>
      </c>
      <c r="H161" s="96"/>
      <c r="I161" s="96"/>
      <c r="J161" s="2"/>
      <c r="K161" s="2"/>
      <c r="L161" s="2"/>
      <c r="M161" s="2"/>
      <c r="N161" s="2"/>
      <c r="O161" s="2"/>
    </row>
    <row r="162" spans="1:15" ht="15.75">
      <c r="A162" s="95"/>
      <c r="B162" s="95"/>
      <c r="C162" s="95">
        <v>4210</v>
      </c>
      <c r="D162" s="1" t="s">
        <v>555</v>
      </c>
      <c r="E162" s="96">
        <f t="shared" si="37"/>
        <v>45000</v>
      </c>
      <c r="F162" s="96">
        <f aca="true" t="shared" si="38" ref="F162:F176">I162</f>
        <v>45000</v>
      </c>
      <c r="G162" s="96"/>
      <c r="H162" s="96"/>
      <c r="I162" s="96">
        <f>'zał 18'!I18+'zał 19'!I16</f>
        <v>45000</v>
      </c>
      <c r="J162" s="2"/>
      <c r="K162" s="2"/>
      <c r="L162" s="2"/>
      <c r="M162" s="2"/>
      <c r="N162" s="2"/>
      <c r="O162" s="2"/>
    </row>
    <row r="163" spans="1:15" ht="15.75">
      <c r="A163" s="95"/>
      <c r="B163" s="95"/>
      <c r="C163" s="95">
        <v>4220</v>
      </c>
      <c r="D163" s="1" t="s">
        <v>566</v>
      </c>
      <c r="E163" s="96">
        <f t="shared" si="37"/>
        <v>153100</v>
      </c>
      <c r="F163" s="96">
        <f t="shared" si="38"/>
        <v>153100</v>
      </c>
      <c r="G163" s="96"/>
      <c r="H163" s="96"/>
      <c r="I163" s="96">
        <f>'zał 18'!I19+'zał 19'!I17</f>
        <v>153100</v>
      </c>
      <c r="J163" s="2"/>
      <c r="K163" s="2"/>
      <c r="L163" s="2"/>
      <c r="M163" s="2"/>
      <c r="N163" s="2"/>
      <c r="O163" s="2"/>
    </row>
    <row r="164" spans="1:15" ht="31.5">
      <c r="A164" s="95"/>
      <c r="B164" s="95"/>
      <c r="C164" s="95">
        <v>4240</v>
      </c>
      <c r="D164" s="1" t="s">
        <v>556</v>
      </c>
      <c r="E164" s="96">
        <f t="shared" si="37"/>
        <v>8000</v>
      </c>
      <c r="F164" s="96">
        <f t="shared" si="38"/>
        <v>8000</v>
      </c>
      <c r="G164" s="96"/>
      <c r="H164" s="96"/>
      <c r="I164" s="96">
        <f>'zał 18'!I20+'zał 19'!I18</f>
        <v>8000</v>
      </c>
      <c r="J164" s="2"/>
      <c r="K164" s="2"/>
      <c r="L164" s="2"/>
      <c r="M164" s="2"/>
      <c r="N164" s="2"/>
      <c r="O164" s="2"/>
    </row>
    <row r="165" spans="1:15" ht="15.75">
      <c r="A165" s="95"/>
      <c r="B165" s="95"/>
      <c r="C165" s="95">
        <v>4260</v>
      </c>
      <c r="D165" s="1" t="s">
        <v>567</v>
      </c>
      <c r="E165" s="96">
        <f t="shared" si="37"/>
        <v>284000</v>
      </c>
      <c r="F165" s="96">
        <f t="shared" si="38"/>
        <v>284000</v>
      </c>
      <c r="G165" s="96"/>
      <c r="H165" s="96"/>
      <c r="I165" s="96">
        <f>'zał 18'!I21+'zał 19'!I19</f>
        <v>284000</v>
      </c>
      <c r="J165" s="2"/>
      <c r="K165" s="2"/>
      <c r="L165" s="2"/>
      <c r="M165" s="2"/>
      <c r="N165" s="2"/>
      <c r="O165" s="2"/>
    </row>
    <row r="166" spans="1:15" ht="15.75">
      <c r="A166" s="95"/>
      <c r="B166" s="95"/>
      <c r="C166" s="95">
        <v>4270</v>
      </c>
      <c r="D166" s="1" t="s">
        <v>507</v>
      </c>
      <c r="E166" s="96">
        <f t="shared" si="37"/>
        <v>90000</v>
      </c>
      <c r="F166" s="96">
        <f t="shared" si="38"/>
        <v>90000</v>
      </c>
      <c r="G166" s="96"/>
      <c r="H166" s="96"/>
      <c r="I166" s="96">
        <f>'zał 18'!I22+'zał 19'!I20</f>
        <v>90000</v>
      </c>
      <c r="J166" s="2"/>
      <c r="K166" s="2"/>
      <c r="L166" s="2"/>
      <c r="M166" s="2"/>
      <c r="N166" s="2"/>
      <c r="O166" s="2"/>
    </row>
    <row r="167" spans="1:15" ht="15.75">
      <c r="A167" s="95"/>
      <c r="B167" s="95"/>
      <c r="C167" s="95">
        <v>4280</v>
      </c>
      <c r="D167" s="1" t="s">
        <v>568</v>
      </c>
      <c r="E167" s="96">
        <f t="shared" si="37"/>
        <v>16450</v>
      </c>
      <c r="F167" s="96">
        <f t="shared" si="38"/>
        <v>16450</v>
      </c>
      <c r="G167" s="96"/>
      <c r="H167" s="96"/>
      <c r="I167" s="96">
        <f>'zał 18'!I23+'zał 19'!I21</f>
        <v>16450</v>
      </c>
      <c r="J167" s="2"/>
      <c r="K167" s="2"/>
      <c r="L167" s="2"/>
      <c r="M167" s="2"/>
      <c r="N167" s="2"/>
      <c r="O167" s="2"/>
    </row>
    <row r="168" spans="1:15" ht="15.75">
      <c r="A168" s="95"/>
      <c r="B168" s="95"/>
      <c r="C168" s="95">
        <v>4300</v>
      </c>
      <c r="D168" s="1" t="s">
        <v>569</v>
      </c>
      <c r="E168" s="96">
        <f t="shared" si="37"/>
        <v>37200</v>
      </c>
      <c r="F168" s="96">
        <f t="shared" si="38"/>
        <v>37200</v>
      </c>
      <c r="G168" s="96"/>
      <c r="H168" s="96"/>
      <c r="I168" s="96">
        <f>'zał 18'!I24+'zał 19'!I22</f>
        <v>37200</v>
      </c>
      <c r="J168" s="2"/>
      <c r="K168" s="2"/>
      <c r="L168" s="2"/>
      <c r="M168" s="2"/>
      <c r="N168" s="2"/>
      <c r="O168" s="2"/>
    </row>
    <row r="169" spans="1:15" ht="15.75">
      <c r="A169" s="95"/>
      <c r="B169" s="95"/>
      <c r="C169" s="95">
        <v>4350</v>
      </c>
      <c r="D169" s="1" t="s">
        <v>570</v>
      </c>
      <c r="E169" s="96">
        <f t="shared" si="37"/>
        <v>2520</v>
      </c>
      <c r="F169" s="96">
        <f t="shared" si="38"/>
        <v>2520</v>
      </c>
      <c r="G169" s="96"/>
      <c r="H169" s="96"/>
      <c r="I169" s="96">
        <f>'zał 18'!I25+'zał 19'!I23</f>
        <v>2520</v>
      </c>
      <c r="J169" s="2"/>
      <c r="K169" s="2"/>
      <c r="L169" s="2"/>
      <c r="M169" s="2"/>
      <c r="N169" s="2"/>
      <c r="O169" s="2"/>
    </row>
    <row r="170" spans="1:15" ht="31.5">
      <c r="A170" s="95"/>
      <c r="B170" s="95"/>
      <c r="C170" s="95">
        <v>4370</v>
      </c>
      <c r="D170" s="1" t="s">
        <v>571</v>
      </c>
      <c r="E170" s="96">
        <f t="shared" si="37"/>
        <v>2200</v>
      </c>
      <c r="F170" s="96">
        <f t="shared" si="38"/>
        <v>2200</v>
      </c>
      <c r="G170" s="96"/>
      <c r="H170" s="96"/>
      <c r="I170" s="96">
        <f>'zał 18'!I26+'zał 19'!I24</f>
        <v>2200</v>
      </c>
      <c r="J170" s="2"/>
      <c r="K170" s="2"/>
      <c r="L170" s="2"/>
      <c r="M170" s="2"/>
      <c r="N170" s="2"/>
      <c r="O170" s="2"/>
    </row>
    <row r="171" spans="1:15" ht="15.75">
      <c r="A171" s="95"/>
      <c r="B171" s="95"/>
      <c r="C171" s="95">
        <v>4410</v>
      </c>
      <c r="D171" s="1" t="s">
        <v>572</v>
      </c>
      <c r="E171" s="96">
        <f t="shared" si="37"/>
        <v>2800</v>
      </c>
      <c r="F171" s="96">
        <f t="shared" si="38"/>
        <v>2800</v>
      </c>
      <c r="G171" s="96"/>
      <c r="H171" s="96"/>
      <c r="I171" s="96">
        <f>'zał 18'!I28+'zał 19'!I26</f>
        <v>2800</v>
      </c>
      <c r="J171" s="2"/>
      <c r="K171" s="2"/>
      <c r="L171" s="2"/>
      <c r="M171" s="2"/>
      <c r="N171" s="2"/>
      <c r="O171" s="2"/>
    </row>
    <row r="172" spans="1:15" ht="15.75">
      <c r="A172" s="95"/>
      <c r="B172" s="95"/>
      <c r="C172" s="95">
        <v>4430</v>
      </c>
      <c r="D172" s="1" t="s">
        <v>573</v>
      </c>
      <c r="E172" s="96">
        <f t="shared" si="37"/>
        <v>1119</v>
      </c>
      <c r="F172" s="96">
        <f t="shared" si="38"/>
        <v>1119</v>
      </c>
      <c r="G172" s="96"/>
      <c r="H172" s="96"/>
      <c r="I172" s="96">
        <f>'zał 18'!I29+'zał 19'!I27</f>
        <v>1119</v>
      </c>
      <c r="J172" s="2"/>
      <c r="K172" s="2"/>
      <c r="L172" s="2"/>
      <c r="M172" s="2"/>
      <c r="N172" s="2"/>
      <c r="O172" s="2"/>
    </row>
    <row r="173" spans="1:15" ht="31.5">
      <c r="A173" s="95"/>
      <c r="B173" s="95"/>
      <c r="C173" s="95">
        <v>4440</v>
      </c>
      <c r="D173" s="1" t="s">
        <v>574</v>
      </c>
      <c r="E173" s="96">
        <f t="shared" si="37"/>
        <v>51074.737759999996</v>
      </c>
      <c r="F173" s="96">
        <f t="shared" si="38"/>
        <v>51074.737759999996</v>
      </c>
      <c r="G173" s="96"/>
      <c r="H173" s="96"/>
      <c r="I173" s="96">
        <f>'zał 18'!I30+'zał 19'!I28</f>
        <v>51074.737759999996</v>
      </c>
      <c r="J173" s="2"/>
      <c r="K173" s="2"/>
      <c r="L173" s="2"/>
      <c r="M173" s="2"/>
      <c r="N173" s="2"/>
      <c r="O173" s="2"/>
    </row>
    <row r="174" spans="1:15" ht="31.5">
      <c r="A174" s="95"/>
      <c r="B174" s="95"/>
      <c r="C174" s="95">
        <v>4700</v>
      </c>
      <c r="D174" s="179" t="s">
        <v>575</v>
      </c>
      <c r="E174" s="96">
        <f t="shared" si="37"/>
        <v>1493</v>
      </c>
      <c r="F174" s="96">
        <f t="shared" si="38"/>
        <v>1493</v>
      </c>
      <c r="G174" s="96"/>
      <c r="H174" s="96"/>
      <c r="I174" s="96">
        <f>'zał 18'!I31+'zał 19'!I29</f>
        <v>1493</v>
      </c>
      <c r="J174" s="2"/>
      <c r="K174" s="2"/>
      <c r="L174" s="2"/>
      <c r="M174" s="2"/>
      <c r="N174" s="2"/>
      <c r="O174" s="2"/>
    </row>
    <row r="175" spans="1:15" ht="31.5">
      <c r="A175" s="95"/>
      <c r="B175" s="95"/>
      <c r="C175" s="95">
        <v>4740</v>
      </c>
      <c r="D175" s="179" t="s">
        <v>558</v>
      </c>
      <c r="E175" s="96">
        <f t="shared" si="37"/>
        <v>62645.704999999994</v>
      </c>
      <c r="F175" s="96">
        <f t="shared" si="38"/>
        <v>62645.704999999994</v>
      </c>
      <c r="G175" s="96"/>
      <c r="H175" s="96"/>
      <c r="I175" s="96">
        <f>'zał 18'!I32+'zał 19'!I30</f>
        <v>62645.704999999994</v>
      </c>
      <c r="J175" s="2"/>
      <c r="K175" s="2"/>
      <c r="L175" s="2"/>
      <c r="M175" s="2"/>
      <c r="N175" s="2"/>
      <c r="O175" s="2"/>
    </row>
    <row r="176" spans="1:15" ht="31.5">
      <c r="A176" s="95"/>
      <c r="B176" s="95"/>
      <c r="C176" s="95">
        <v>4750</v>
      </c>
      <c r="D176" s="179" t="s">
        <v>576</v>
      </c>
      <c r="E176" s="96">
        <f t="shared" si="37"/>
        <v>1500</v>
      </c>
      <c r="F176" s="96">
        <f t="shared" si="38"/>
        <v>1500</v>
      </c>
      <c r="G176" s="96"/>
      <c r="H176" s="96"/>
      <c r="I176" s="96">
        <f>'zał 18'!I33+'zał 19'!I31</f>
        <v>1500</v>
      </c>
      <c r="J176" s="2"/>
      <c r="K176" s="2"/>
      <c r="L176" s="2"/>
      <c r="M176" s="2"/>
      <c r="N176" s="2"/>
      <c r="O176" s="2"/>
    </row>
    <row r="177" spans="1:15" ht="15.75">
      <c r="A177" s="94"/>
      <c r="B177" s="94">
        <v>80110</v>
      </c>
      <c r="C177" s="94"/>
      <c r="D177" s="66" t="s">
        <v>407</v>
      </c>
      <c r="E177" s="88">
        <f aca="true" t="shared" si="39" ref="E177:O177">SUM(E178:E197)</f>
        <v>6083922.889719</v>
      </c>
      <c r="F177" s="88">
        <f t="shared" si="39"/>
        <v>6083922.889719</v>
      </c>
      <c r="G177" s="88">
        <f t="shared" si="39"/>
        <v>4340846</v>
      </c>
      <c r="H177" s="88">
        <f t="shared" si="39"/>
        <v>759674.7143999999</v>
      </c>
      <c r="I177" s="88">
        <f t="shared" si="39"/>
        <v>964986.1753189999</v>
      </c>
      <c r="J177" s="88">
        <f t="shared" si="39"/>
        <v>0</v>
      </c>
      <c r="K177" s="88">
        <f t="shared" si="39"/>
        <v>18416</v>
      </c>
      <c r="L177" s="88">
        <f t="shared" si="39"/>
        <v>0</v>
      </c>
      <c r="M177" s="88">
        <f t="shared" si="39"/>
        <v>0</v>
      </c>
      <c r="N177" s="88">
        <f t="shared" si="39"/>
        <v>0</v>
      </c>
      <c r="O177" s="88">
        <f t="shared" si="39"/>
        <v>0</v>
      </c>
    </row>
    <row r="178" spans="1:15" ht="31.5">
      <c r="A178" s="95"/>
      <c r="B178" s="95"/>
      <c r="C178" s="95">
        <v>3020</v>
      </c>
      <c r="D178" s="1" t="s">
        <v>577</v>
      </c>
      <c r="E178" s="96">
        <f aca="true" t="shared" si="40" ref="E178:E197">F178+O178</f>
        <v>18416</v>
      </c>
      <c r="F178" s="96">
        <f>K178</f>
        <v>18416</v>
      </c>
      <c r="G178" s="96"/>
      <c r="H178" s="96"/>
      <c r="I178" s="96"/>
      <c r="J178" s="96"/>
      <c r="K178" s="96">
        <f>'zał 20'!J10+'zał 21'!J11+'zał 22'!J10</f>
        <v>18416</v>
      </c>
      <c r="L178" s="96"/>
      <c r="M178" s="96"/>
      <c r="N178" s="96"/>
      <c r="O178" s="96"/>
    </row>
    <row r="179" spans="1:15" ht="15.75">
      <c r="A179" s="95"/>
      <c r="B179" s="95"/>
      <c r="C179" s="95">
        <v>4010</v>
      </c>
      <c r="D179" s="1" t="s">
        <v>500</v>
      </c>
      <c r="E179" s="96">
        <f t="shared" si="40"/>
        <v>3999556</v>
      </c>
      <c r="F179" s="96">
        <f>G179</f>
        <v>3999556</v>
      </c>
      <c r="G179" s="96">
        <f>'zał 20'!G11+'zał 21'!G12+'zał 22'!G11</f>
        <v>3999556</v>
      </c>
      <c r="H179" s="96"/>
      <c r="I179" s="96"/>
      <c r="J179" s="96"/>
      <c r="K179" s="96"/>
      <c r="L179" s="96"/>
      <c r="M179" s="96"/>
      <c r="N179" s="96"/>
      <c r="O179" s="96"/>
    </row>
    <row r="180" spans="1:15" ht="15.75">
      <c r="A180" s="95"/>
      <c r="B180" s="95"/>
      <c r="C180" s="95">
        <v>4040</v>
      </c>
      <c r="D180" s="1" t="s">
        <v>501</v>
      </c>
      <c r="E180" s="96">
        <f t="shared" si="40"/>
        <v>306990</v>
      </c>
      <c r="F180" s="96">
        <f>G180</f>
        <v>306990</v>
      </c>
      <c r="G180" s="96">
        <f>'zał 20'!G12+'zał 21'!G13+'zał 22'!G12</f>
        <v>306990</v>
      </c>
      <c r="H180" s="96"/>
      <c r="I180" s="96"/>
      <c r="J180" s="96"/>
      <c r="K180" s="96"/>
      <c r="L180" s="96"/>
      <c r="M180" s="96"/>
      <c r="N180" s="96"/>
      <c r="O180" s="96"/>
    </row>
    <row r="181" spans="1:15" ht="15.75">
      <c r="A181" s="95"/>
      <c r="B181" s="95"/>
      <c r="C181" s="95">
        <v>4110</v>
      </c>
      <c r="D181" s="1" t="s">
        <v>502</v>
      </c>
      <c r="E181" s="96">
        <f t="shared" si="40"/>
        <v>654164.3374</v>
      </c>
      <c r="F181" s="96">
        <f>H181</f>
        <v>654164.3374</v>
      </c>
      <c r="G181" s="96"/>
      <c r="H181" s="96">
        <f>'zał 20'!H13+'zał 21'!H14+'zał 22'!H13</f>
        <v>654164.3374</v>
      </c>
      <c r="I181" s="96"/>
      <c r="J181" s="96"/>
      <c r="K181" s="96"/>
      <c r="L181" s="96"/>
      <c r="M181" s="96"/>
      <c r="N181" s="96"/>
      <c r="O181" s="96"/>
    </row>
    <row r="182" spans="1:15" ht="15.75">
      <c r="A182" s="95"/>
      <c r="B182" s="95"/>
      <c r="C182" s="95">
        <v>4120</v>
      </c>
      <c r="D182" s="1" t="s">
        <v>503</v>
      </c>
      <c r="E182" s="96">
        <f t="shared" si="40"/>
        <v>105510.37700000001</v>
      </c>
      <c r="F182" s="96">
        <f>H182</f>
        <v>105510.37700000001</v>
      </c>
      <c r="G182" s="96"/>
      <c r="H182" s="96">
        <f>'zał 20'!H14+'zał 21'!H15+'zał 22'!H14</f>
        <v>105510.37700000001</v>
      </c>
      <c r="I182" s="96"/>
      <c r="J182" s="96"/>
      <c r="K182" s="96"/>
      <c r="L182" s="96"/>
      <c r="M182" s="96"/>
      <c r="N182" s="96"/>
      <c r="O182" s="96"/>
    </row>
    <row r="183" spans="1:15" ht="15.75">
      <c r="A183" s="95"/>
      <c r="B183" s="95"/>
      <c r="C183" s="95">
        <v>4170</v>
      </c>
      <c r="D183" s="1" t="s">
        <v>505</v>
      </c>
      <c r="E183" s="96">
        <f t="shared" si="40"/>
        <v>34300</v>
      </c>
      <c r="F183" s="96">
        <f>G183</f>
        <v>34300</v>
      </c>
      <c r="G183" s="96">
        <f>'zał 20'!G15+'zał 21'!G16+'zał 22'!G15</f>
        <v>34300</v>
      </c>
      <c r="H183" s="96"/>
      <c r="I183" s="96"/>
      <c r="J183" s="96"/>
      <c r="K183" s="96"/>
      <c r="L183" s="96"/>
      <c r="M183" s="96"/>
      <c r="N183" s="96"/>
      <c r="O183" s="96"/>
    </row>
    <row r="184" spans="1:15" ht="15.75">
      <c r="A184" s="95"/>
      <c r="B184" s="95"/>
      <c r="C184" s="95">
        <v>4210</v>
      </c>
      <c r="D184" s="1" t="s">
        <v>485</v>
      </c>
      <c r="E184" s="96">
        <f t="shared" si="40"/>
        <v>64000</v>
      </c>
      <c r="F184" s="96">
        <f aca="true" t="shared" si="41" ref="F184:F197">I184</f>
        <v>64000</v>
      </c>
      <c r="G184" s="96"/>
      <c r="H184" s="96"/>
      <c r="I184" s="96">
        <f>'zał 20'!I16+'zał 21'!I17+'zał 22'!I16</f>
        <v>64000</v>
      </c>
      <c r="J184" s="96"/>
      <c r="K184" s="96"/>
      <c r="L184" s="96"/>
      <c r="M184" s="96"/>
      <c r="N184" s="96"/>
      <c r="O184" s="96"/>
    </row>
    <row r="185" spans="1:15" ht="31.5">
      <c r="A185" s="95"/>
      <c r="B185" s="95"/>
      <c r="C185" s="95">
        <v>4240</v>
      </c>
      <c r="D185" s="1" t="s">
        <v>546</v>
      </c>
      <c r="E185" s="96">
        <f t="shared" si="40"/>
        <v>21000</v>
      </c>
      <c r="F185" s="96">
        <f t="shared" si="41"/>
        <v>21000</v>
      </c>
      <c r="G185" s="96"/>
      <c r="H185" s="96"/>
      <c r="I185" s="96">
        <f>'zał 20'!I17+'zał 21'!I18+'zał 22'!I17</f>
        <v>21000</v>
      </c>
      <c r="J185" s="96"/>
      <c r="K185" s="96"/>
      <c r="L185" s="96"/>
      <c r="M185" s="96"/>
      <c r="N185" s="96"/>
      <c r="O185" s="96"/>
    </row>
    <row r="186" spans="1:15" ht="15.75">
      <c r="A186" s="95"/>
      <c r="B186" s="95"/>
      <c r="C186" s="95">
        <v>4260</v>
      </c>
      <c r="D186" s="1" t="s">
        <v>547</v>
      </c>
      <c r="E186" s="96">
        <f t="shared" si="40"/>
        <v>475000</v>
      </c>
      <c r="F186" s="96">
        <f t="shared" si="41"/>
        <v>475000</v>
      </c>
      <c r="G186" s="96"/>
      <c r="H186" s="96"/>
      <c r="I186" s="96">
        <f>'zał 20'!I18+'zał 21'!I19+'zał 22'!I18</f>
        <v>475000</v>
      </c>
      <c r="J186" s="96"/>
      <c r="K186" s="96"/>
      <c r="L186" s="96"/>
      <c r="M186" s="96"/>
      <c r="N186" s="96"/>
      <c r="O186" s="96"/>
    </row>
    <row r="187" spans="1:15" ht="15.75">
      <c r="A187" s="95"/>
      <c r="B187" s="95"/>
      <c r="C187" s="95">
        <v>4270</v>
      </c>
      <c r="D187" s="1" t="s">
        <v>489</v>
      </c>
      <c r="E187" s="96">
        <f t="shared" si="40"/>
        <v>40000</v>
      </c>
      <c r="F187" s="96">
        <f t="shared" si="41"/>
        <v>40000</v>
      </c>
      <c r="G187" s="96"/>
      <c r="H187" s="96"/>
      <c r="I187" s="96">
        <f>'zał 20'!I19+'zał 21'!I20+'zał 22'!I19</f>
        <v>40000</v>
      </c>
      <c r="J187" s="96"/>
      <c r="K187" s="96"/>
      <c r="L187" s="96"/>
      <c r="M187" s="96"/>
      <c r="N187" s="96"/>
      <c r="O187" s="96"/>
    </row>
    <row r="188" spans="1:15" ht="15.75">
      <c r="A188" s="95"/>
      <c r="B188" s="95"/>
      <c r="C188" s="95">
        <v>4280</v>
      </c>
      <c r="D188" s="1" t="s">
        <v>548</v>
      </c>
      <c r="E188" s="96">
        <f t="shared" si="40"/>
        <v>5600</v>
      </c>
      <c r="F188" s="96">
        <f t="shared" si="41"/>
        <v>5600</v>
      </c>
      <c r="G188" s="96"/>
      <c r="H188" s="96"/>
      <c r="I188" s="96">
        <f>'zał 20'!I20+'zał 21'!I21+'zał 22'!I20</f>
        <v>5600</v>
      </c>
      <c r="J188" s="96"/>
      <c r="K188" s="96"/>
      <c r="L188" s="96"/>
      <c r="M188" s="96"/>
      <c r="N188" s="96"/>
      <c r="O188" s="96"/>
    </row>
    <row r="189" spans="1:15" ht="15.75">
      <c r="A189" s="95"/>
      <c r="B189" s="95"/>
      <c r="C189" s="95">
        <v>4300</v>
      </c>
      <c r="D189" s="1" t="s">
        <v>481</v>
      </c>
      <c r="E189" s="96">
        <f t="shared" si="40"/>
        <v>94900</v>
      </c>
      <c r="F189" s="96">
        <f t="shared" si="41"/>
        <v>94900</v>
      </c>
      <c r="G189" s="96"/>
      <c r="H189" s="96"/>
      <c r="I189" s="96">
        <f>'zał 20'!I21+'zał 21'!I22+'zał 22'!I21</f>
        <v>94900</v>
      </c>
      <c r="J189" s="96"/>
      <c r="K189" s="96"/>
      <c r="L189" s="96"/>
      <c r="M189" s="96"/>
      <c r="N189" s="96"/>
      <c r="O189" s="96"/>
    </row>
    <row r="190" spans="1:15" ht="15.75">
      <c r="A190" s="95"/>
      <c r="B190" s="95"/>
      <c r="C190" s="95">
        <v>4350</v>
      </c>
      <c r="D190" s="1" t="s">
        <v>510</v>
      </c>
      <c r="E190" s="96">
        <f t="shared" si="40"/>
        <v>2424</v>
      </c>
      <c r="F190" s="96">
        <f t="shared" si="41"/>
        <v>2424</v>
      </c>
      <c r="G190" s="96"/>
      <c r="H190" s="96"/>
      <c r="I190" s="96">
        <f>'zał 20'!I22+'zał 21'!I23+'zał 22'!I22</f>
        <v>2424</v>
      </c>
      <c r="J190" s="96"/>
      <c r="K190" s="96"/>
      <c r="L190" s="96"/>
      <c r="M190" s="96"/>
      <c r="N190" s="96"/>
      <c r="O190" s="96"/>
    </row>
    <row r="191" spans="1:15" ht="47.25">
      <c r="A191" s="95"/>
      <c r="B191" s="95"/>
      <c r="C191" s="95">
        <v>4370</v>
      </c>
      <c r="D191" s="1" t="s">
        <v>578</v>
      </c>
      <c r="E191" s="96">
        <f t="shared" si="40"/>
        <v>8500</v>
      </c>
      <c r="F191" s="96">
        <f t="shared" si="41"/>
        <v>8500</v>
      </c>
      <c r="G191" s="96"/>
      <c r="H191" s="96"/>
      <c r="I191" s="96">
        <f>'zał 20'!I23+'zał 21'!I24+'zał 22'!I23</f>
        <v>8500</v>
      </c>
      <c r="J191" s="96"/>
      <c r="K191" s="96"/>
      <c r="L191" s="96"/>
      <c r="M191" s="96"/>
      <c r="N191" s="96"/>
      <c r="O191" s="96"/>
    </row>
    <row r="192" spans="1:15" ht="15.75">
      <c r="A192" s="95"/>
      <c r="B192" s="95"/>
      <c r="C192" s="95">
        <v>4410</v>
      </c>
      <c r="D192" s="1" t="s">
        <v>515</v>
      </c>
      <c r="E192" s="96">
        <f t="shared" si="40"/>
        <v>4400</v>
      </c>
      <c r="F192" s="96">
        <f t="shared" si="41"/>
        <v>4400</v>
      </c>
      <c r="G192" s="96"/>
      <c r="H192" s="96"/>
      <c r="I192" s="96">
        <f>'zał 20'!I24+'zał 21'!I25+'zał 22'!I24</f>
        <v>4400</v>
      </c>
      <c r="J192" s="96"/>
      <c r="K192" s="96"/>
      <c r="L192" s="96"/>
      <c r="M192" s="96"/>
      <c r="N192" s="96"/>
      <c r="O192" s="96"/>
    </row>
    <row r="193" spans="1:15" ht="15.75">
      <c r="A193" s="95"/>
      <c r="B193" s="95"/>
      <c r="C193" s="95">
        <v>4430</v>
      </c>
      <c r="D193" s="1" t="s">
        <v>550</v>
      </c>
      <c r="E193" s="96">
        <f t="shared" si="40"/>
        <v>3508</v>
      </c>
      <c r="F193" s="96">
        <f t="shared" si="41"/>
        <v>3508</v>
      </c>
      <c r="G193" s="96"/>
      <c r="H193" s="96"/>
      <c r="I193" s="96">
        <f>'zał 20'!I25+'zał 21'!I26+'zał 22'!I25</f>
        <v>3508</v>
      </c>
      <c r="J193" s="96"/>
      <c r="K193" s="96"/>
      <c r="L193" s="96"/>
      <c r="M193" s="96"/>
      <c r="N193" s="96"/>
      <c r="O193" s="96"/>
    </row>
    <row r="194" spans="1:15" ht="31.5">
      <c r="A194" s="95"/>
      <c r="B194" s="95"/>
      <c r="C194" s="95">
        <v>4440</v>
      </c>
      <c r="D194" s="1" t="s">
        <v>517</v>
      </c>
      <c r="E194" s="96">
        <f t="shared" si="40"/>
        <v>206704.17531899997</v>
      </c>
      <c r="F194" s="96">
        <f t="shared" si="41"/>
        <v>206704.17531899997</v>
      </c>
      <c r="G194" s="96"/>
      <c r="H194" s="96"/>
      <c r="I194" s="96">
        <f>'zał 20'!I26+'zał 21'!I27+'zał 22'!I27</f>
        <v>206704.17531899997</v>
      </c>
      <c r="J194" s="96"/>
      <c r="K194" s="96"/>
      <c r="L194" s="96"/>
      <c r="M194" s="96"/>
      <c r="N194" s="96"/>
      <c r="O194" s="96"/>
    </row>
    <row r="195" spans="1:15" ht="31.5">
      <c r="A195" s="95"/>
      <c r="B195" s="95"/>
      <c r="C195" s="95">
        <v>4700</v>
      </c>
      <c r="D195" s="1" t="s">
        <v>519</v>
      </c>
      <c r="E195" s="96">
        <f t="shared" si="40"/>
        <v>6200</v>
      </c>
      <c r="F195" s="96">
        <f t="shared" si="41"/>
        <v>6200</v>
      </c>
      <c r="G195" s="96"/>
      <c r="H195" s="96"/>
      <c r="I195" s="96">
        <f>'zał 20'!I27+'zał 21'!I28+'zał 22'!I28</f>
        <v>6200</v>
      </c>
      <c r="J195" s="96"/>
      <c r="K195" s="96"/>
      <c r="L195" s="96"/>
      <c r="M195" s="96"/>
      <c r="N195" s="96"/>
      <c r="O195" s="96"/>
    </row>
    <row r="196" spans="1:15" ht="31.5">
      <c r="A196" s="95"/>
      <c r="B196" s="95"/>
      <c r="C196" s="95">
        <v>4740</v>
      </c>
      <c r="D196" s="1" t="s">
        <v>579</v>
      </c>
      <c r="E196" s="96">
        <f t="shared" si="40"/>
        <v>6450</v>
      </c>
      <c r="F196" s="96">
        <f t="shared" si="41"/>
        <v>6450</v>
      </c>
      <c r="G196" s="96"/>
      <c r="H196" s="96"/>
      <c r="I196" s="96">
        <f>'zał 20'!I28+'zał 21'!I29+'zał 22'!I29</f>
        <v>6450</v>
      </c>
      <c r="J196" s="96"/>
      <c r="K196" s="96"/>
      <c r="L196" s="96"/>
      <c r="M196" s="96"/>
      <c r="N196" s="96"/>
      <c r="O196" s="96"/>
    </row>
    <row r="197" spans="1:15" ht="31.5">
      <c r="A197" s="95"/>
      <c r="B197" s="95"/>
      <c r="C197" s="95">
        <v>4750</v>
      </c>
      <c r="D197" s="1" t="s">
        <v>521</v>
      </c>
      <c r="E197" s="96">
        <f t="shared" si="40"/>
        <v>26300</v>
      </c>
      <c r="F197" s="96">
        <f t="shared" si="41"/>
        <v>26300</v>
      </c>
      <c r="G197" s="96"/>
      <c r="H197" s="96"/>
      <c r="I197" s="96">
        <f>'zał 20'!I29+'zał 21'!I30+'zał 22'!I30</f>
        <v>26300</v>
      </c>
      <c r="J197" s="96"/>
      <c r="K197" s="96"/>
      <c r="L197" s="96"/>
      <c r="M197" s="96"/>
      <c r="N197" s="96"/>
      <c r="O197" s="96"/>
    </row>
    <row r="198" spans="1:15" ht="15.75">
      <c r="A198" s="94"/>
      <c r="B198" s="94">
        <v>80113</v>
      </c>
      <c r="C198" s="94"/>
      <c r="D198" s="66" t="s">
        <v>580</v>
      </c>
      <c r="E198" s="88">
        <f aca="true" t="shared" si="42" ref="E198:O198">SUM(E199:E212)</f>
        <v>795095.5844</v>
      </c>
      <c r="F198" s="88">
        <f t="shared" si="42"/>
        <v>795095.5844</v>
      </c>
      <c r="G198" s="88">
        <f t="shared" si="42"/>
        <v>140837</v>
      </c>
      <c r="H198" s="88">
        <f t="shared" si="42"/>
        <v>21348.5844</v>
      </c>
      <c r="I198" s="88">
        <f t="shared" si="42"/>
        <v>0</v>
      </c>
      <c r="J198" s="88">
        <f t="shared" si="42"/>
        <v>0</v>
      </c>
      <c r="K198" s="88">
        <f t="shared" si="42"/>
        <v>1000</v>
      </c>
      <c r="L198" s="88">
        <f t="shared" si="42"/>
        <v>0</v>
      </c>
      <c r="M198" s="88">
        <f t="shared" si="42"/>
        <v>0</v>
      </c>
      <c r="N198" s="88">
        <f t="shared" si="42"/>
        <v>0</v>
      </c>
      <c r="O198" s="88">
        <f t="shared" si="42"/>
        <v>0</v>
      </c>
    </row>
    <row r="199" spans="1:15" ht="21" customHeight="1">
      <c r="A199" s="95"/>
      <c r="B199" s="95"/>
      <c r="C199" s="95">
        <v>3020</v>
      </c>
      <c r="D199" s="1" t="s">
        <v>581</v>
      </c>
      <c r="E199" s="96">
        <f aca="true" t="shared" si="43" ref="E199:E212">F199+O199</f>
        <v>1000</v>
      </c>
      <c r="F199" s="96">
        <f>K199</f>
        <v>1000</v>
      </c>
      <c r="G199" s="71"/>
      <c r="H199" s="71"/>
      <c r="I199" s="71"/>
      <c r="J199" s="71"/>
      <c r="K199" s="96">
        <v>1000</v>
      </c>
      <c r="L199" s="71"/>
      <c r="M199" s="169"/>
      <c r="N199" s="169"/>
      <c r="O199" s="71"/>
    </row>
    <row r="200" spans="1:15" ht="15.75">
      <c r="A200" s="95"/>
      <c r="B200" s="95"/>
      <c r="C200" s="95">
        <v>4010</v>
      </c>
      <c r="D200" s="1" t="s">
        <v>500</v>
      </c>
      <c r="E200" s="96">
        <f t="shared" si="43"/>
        <v>121630</v>
      </c>
      <c r="F200" s="71">
        <f>SUM(G200:N200)</f>
        <v>121630</v>
      </c>
      <c r="G200" s="96">
        <v>121630</v>
      </c>
      <c r="H200" s="71"/>
      <c r="I200" s="71"/>
      <c r="J200" s="71"/>
      <c r="K200" s="71"/>
      <c r="L200" s="71"/>
      <c r="M200" s="169"/>
      <c r="N200" s="169"/>
      <c r="O200" s="71"/>
    </row>
    <row r="201" spans="1:15" ht="15.75">
      <c r="A201" s="95"/>
      <c r="B201" s="95"/>
      <c r="C201" s="95">
        <v>4040</v>
      </c>
      <c r="D201" s="1" t="s">
        <v>501</v>
      </c>
      <c r="E201" s="96">
        <f t="shared" si="43"/>
        <v>8007.000000000001</v>
      </c>
      <c r="F201" s="71">
        <f>SUM(G201:N201)</f>
        <v>8007.000000000001</v>
      </c>
      <c r="G201" s="96">
        <f>94200*0.085</f>
        <v>8007.000000000001</v>
      </c>
      <c r="H201" s="71"/>
      <c r="I201" s="71"/>
      <c r="J201" s="71"/>
      <c r="K201" s="71"/>
      <c r="L201" s="71"/>
      <c r="M201" s="169"/>
      <c r="N201" s="169"/>
      <c r="O201" s="71"/>
    </row>
    <row r="202" spans="1:15" ht="15.75">
      <c r="A202" s="95"/>
      <c r="B202" s="95"/>
      <c r="C202" s="95">
        <v>4110</v>
      </c>
      <c r="D202" s="1" t="s">
        <v>502</v>
      </c>
      <c r="E202" s="96">
        <f t="shared" si="43"/>
        <v>20106.6987</v>
      </c>
      <c r="F202" s="71">
        <f>SUM(G202:N202)</f>
        <v>20106.6987</v>
      </c>
      <c r="G202" s="71"/>
      <c r="H202" s="96">
        <f>G200*0.1551+G201*0.1551</f>
        <v>20106.6987</v>
      </c>
      <c r="I202" s="96"/>
      <c r="J202" s="71"/>
      <c r="K202" s="71"/>
      <c r="L202" s="71"/>
      <c r="M202" s="169"/>
      <c r="N202" s="169"/>
      <c r="O202" s="71"/>
    </row>
    <row r="203" spans="1:15" ht="15.75">
      <c r="A203" s="95"/>
      <c r="B203" s="95"/>
      <c r="C203" s="95">
        <v>4120</v>
      </c>
      <c r="D203" s="1" t="s">
        <v>503</v>
      </c>
      <c r="E203" s="96">
        <f t="shared" si="43"/>
        <v>1241.8857000000003</v>
      </c>
      <c r="F203" s="71">
        <f>SUM(G203:N203)</f>
        <v>1241.8857000000003</v>
      </c>
      <c r="G203" s="71"/>
      <c r="H203" s="96">
        <f>G201*0.1551+G202*0.1551</f>
        <v>1241.8857000000003</v>
      </c>
      <c r="I203" s="96"/>
      <c r="J203" s="71"/>
      <c r="K203" s="71"/>
      <c r="L203" s="71"/>
      <c r="M203" s="169"/>
      <c r="N203" s="169"/>
      <c r="O203" s="71"/>
    </row>
    <row r="204" spans="1:15" ht="15.75">
      <c r="A204" s="95"/>
      <c r="B204" s="95"/>
      <c r="C204" s="95">
        <v>4170</v>
      </c>
      <c r="D204" s="1" t="s">
        <v>505</v>
      </c>
      <c r="E204" s="96">
        <f t="shared" si="43"/>
        <v>11200</v>
      </c>
      <c r="F204" s="71">
        <f>SUM(G204:N204)</f>
        <v>11200</v>
      </c>
      <c r="G204" s="96">
        <f>280*4*10</f>
        <v>11200</v>
      </c>
      <c r="H204" s="71"/>
      <c r="I204" s="71"/>
      <c r="J204" s="71"/>
      <c r="K204" s="71"/>
      <c r="L204" s="71"/>
      <c r="M204" s="169"/>
      <c r="N204" s="169"/>
      <c r="O204" s="71"/>
    </row>
    <row r="205" spans="1:15" ht="15.75">
      <c r="A205" s="95"/>
      <c r="B205" s="95"/>
      <c r="C205" s="95">
        <v>4210</v>
      </c>
      <c r="D205" s="1" t="s">
        <v>485</v>
      </c>
      <c r="E205" s="96">
        <f t="shared" si="43"/>
        <v>76600</v>
      </c>
      <c r="F205" s="96">
        <v>76600</v>
      </c>
      <c r="G205" s="71"/>
      <c r="H205" s="71"/>
      <c r="I205" s="71"/>
      <c r="J205" s="71"/>
      <c r="K205" s="71"/>
      <c r="L205" s="71"/>
      <c r="M205" s="169"/>
      <c r="N205" s="169"/>
      <c r="O205" s="71"/>
    </row>
    <row r="206" spans="1:15" ht="15.75">
      <c r="A206" s="95"/>
      <c r="B206" s="95"/>
      <c r="C206" s="95">
        <v>4270</v>
      </c>
      <c r="D206" s="1" t="s">
        <v>489</v>
      </c>
      <c r="E206" s="96">
        <f t="shared" si="43"/>
        <v>44000</v>
      </c>
      <c r="F206" s="96">
        <v>44000</v>
      </c>
      <c r="G206" s="71"/>
      <c r="H206" s="71"/>
      <c r="I206" s="71"/>
      <c r="J206" s="71"/>
      <c r="K206" s="71"/>
      <c r="L206" s="71"/>
      <c r="M206" s="169"/>
      <c r="N206" s="169"/>
      <c r="O206" s="71"/>
    </row>
    <row r="207" spans="1:15" ht="15.75">
      <c r="A207" s="95"/>
      <c r="B207" s="95"/>
      <c r="C207" s="95">
        <v>4280</v>
      </c>
      <c r="D207" s="1" t="s">
        <v>548</v>
      </c>
      <c r="E207" s="96">
        <f t="shared" si="43"/>
        <v>210</v>
      </c>
      <c r="F207" s="96">
        <v>210</v>
      </c>
      <c r="G207" s="71"/>
      <c r="H207" s="71"/>
      <c r="I207" s="71"/>
      <c r="J207" s="71"/>
      <c r="K207" s="71"/>
      <c r="L207" s="71"/>
      <c r="M207" s="169"/>
      <c r="N207" s="169"/>
      <c r="O207" s="71"/>
    </row>
    <row r="208" spans="1:15" ht="15.75">
      <c r="A208" s="95"/>
      <c r="B208" s="95"/>
      <c r="C208" s="95">
        <v>4300</v>
      </c>
      <c r="D208" s="1" t="s">
        <v>481</v>
      </c>
      <c r="E208" s="96">
        <f t="shared" si="43"/>
        <v>495000</v>
      </c>
      <c r="F208" s="96">
        <f>495000</f>
        <v>495000</v>
      </c>
      <c r="G208" s="71"/>
      <c r="H208" s="71"/>
      <c r="I208" s="71"/>
      <c r="J208" s="71"/>
      <c r="K208" s="71"/>
      <c r="L208" s="71"/>
      <c r="M208" s="169"/>
      <c r="N208" s="169"/>
      <c r="O208" s="71"/>
    </row>
    <row r="209" spans="1:15" ht="31.5">
      <c r="A209" s="95"/>
      <c r="B209" s="95"/>
      <c r="C209" s="95">
        <v>4360</v>
      </c>
      <c r="D209" s="1" t="s">
        <v>582</v>
      </c>
      <c r="E209" s="96">
        <f t="shared" si="43"/>
        <v>1200</v>
      </c>
      <c r="F209" s="96">
        <v>1200</v>
      </c>
      <c r="G209" s="71"/>
      <c r="H209" s="71"/>
      <c r="I209" s="71"/>
      <c r="J209" s="71"/>
      <c r="K209" s="71"/>
      <c r="L209" s="71"/>
      <c r="M209" s="169"/>
      <c r="N209" s="169"/>
      <c r="O209" s="71"/>
    </row>
    <row r="210" spans="1:15" ht="15.75">
      <c r="A210" s="95"/>
      <c r="B210" s="95"/>
      <c r="C210" s="95">
        <v>4430</v>
      </c>
      <c r="D210" s="1" t="s">
        <v>491</v>
      </c>
      <c r="E210" s="96">
        <f t="shared" si="43"/>
        <v>9400</v>
      </c>
      <c r="F210" s="96">
        <v>9400</v>
      </c>
      <c r="G210" s="71"/>
      <c r="H210" s="71"/>
      <c r="I210" s="71"/>
      <c r="J210" s="71"/>
      <c r="K210" s="71"/>
      <c r="L210" s="71"/>
      <c r="M210" s="169"/>
      <c r="N210" s="169"/>
      <c r="O210" s="71"/>
    </row>
    <row r="211" spans="1:15" ht="31.5">
      <c r="A211" s="95"/>
      <c r="B211" s="95"/>
      <c r="C211" s="95">
        <v>4440</v>
      </c>
      <c r="D211" s="1" t="s">
        <v>517</v>
      </c>
      <c r="E211" s="96">
        <f t="shared" si="43"/>
        <v>3000</v>
      </c>
      <c r="F211" s="96">
        <v>3000</v>
      </c>
      <c r="G211" s="71"/>
      <c r="H211" s="71"/>
      <c r="I211" s="71"/>
      <c r="J211" s="71"/>
      <c r="K211" s="71"/>
      <c r="L211" s="71"/>
      <c r="M211" s="169"/>
      <c r="N211" s="169"/>
      <c r="O211" s="71"/>
    </row>
    <row r="212" spans="1:15" ht="15.75">
      <c r="A212" s="95"/>
      <c r="B212" s="95"/>
      <c r="C212" s="95">
        <v>4500</v>
      </c>
      <c r="D212" s="1" t="s">
        <v>583</v>
      </c>
      <c r="E212" s="96">
        <f t="shared" si="43"/>
        <v>2500</v>
      </c>
      <c r="F212" s="96">
        <v>2500</v>
      </c>
      <c r="G212" s="71"/>
      <c r="H212" s="71"/>
      <c r="I212" s="71"/>
      <c r="J212" s="71"/>
      <c r="K212" s="71"/>
      <c r="L212" s="71"/>
      <c r="M212" s="169"/>
      <c r="N212" s="169"/>
      <c r="O212" s="71"/>
    </row>
    <row r="213" spans="1:15" ht="15.75">
      <c r="A213" s="66"/>
      <c r="B213" s="94">
        <v>80146</v>
      </c>
      <c r="C213" s="94"/>
      <c r="D213" s="66" t="s">
        <v>584</v>
      </c>
      <c r="E213" s="88">
        <f aca="true" t="shared" si="44" ref="E213:O213">SUM(E214:E218)</f>
        <v>37614</v>
      </c>
      <c r="F213" s="88">
        <f t="shared" si="44"/>
        <v>37614</v>
      </c>
      <c r="G213" s="88">
        <f t="shared" si="44"/>
        <v>0</v>
      </c>
      <c r="H213" s="88">
        <f t="shared" si="44"/>
        <v>0</v>
      </c>
      <c r="I213" s="88">
        <f t="shared" si="44"/>
        <v>0</v>
      </c>
      <c r="J213" s="88">
        <f t="shared" si="44"/>
        <v>0</v>
      </c>
      <c r="K213" s="88">
        <f t="shared" si="44"/>
        <v>0</v>
      </c>
      <c r="L213" s="88">
        <f t="shared" si="44"/>
        <v>0</v>
      </c>
      <c r="M213" s="88">
        <f t="shared" si="44"/>
        <v>0</v>
      </c>
      <c r="N213" s="88">
        <f t="shared" si="44"/>
        <v>0</v>
      </c>
      <c r="O213" s="88">
        <f t="shared" si="44"/>
        <v>0</v>
      </c>
    </row>
    <row r="214" spans="1:15" ht="15.75">
      <c r="A214" s="1"/>
      <c r="B214" s="95"/>
      <c r="C214" s="95">
        <v>4210</v>
      </c>
      <c r="D214" s="1" t="s">
        <v>585</v>
      </c>
      <c r="E214" s="96">
        <f>F214</f>
        <v>2794</v>
      </c>
      <c r="F214" s="96">
        <f>'zał 15'!E45+'zał 16'!E46+'zał 17'!E45+'zał 18'!E35+'zał 19'!E35+'zał 20'!F32+'zał 21'!F33+'zał 22'!F32</f>
        <v>2794</v>
      </c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1:15" ht="31.5">
      <c r="A215" s="1"/>
      <c r="B215" s="95"/>
      <c r="C215" s="180">
        <v>4240</v>
      </c>
      <c r="D215" s="181" t="s">
        <v>556</v>
      </c>
      <c r="E215" s="96">
        <f>F215</f>
        <v>0</v>
      </c>
      <c r="F215" s="96">
        <f>'zał 15'!E46+'zał 16'!E47+'zał 17'!E46+'zał 18'!E36+'zał 19'!E36+'zał 20'!F33+'zał 21'!F34+'zał 22'!F33</f>
        <v>0</v>
      </c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1:15" ht="15.75">
      <c r="A216" s="1"/>
      <c r="B216" s="95"/>
      <c r="C216" s="95">
        <v>4300</v>
      </c>
      <c r="D216" s="1" t="s">
        <v>569</v>
      </c>
      <c r="E216" s="96">
        <f>F216</f>
        <v>13490</v>
      </c>
      <c r="F216" s="96">
        <f>'zał 15'!E47+'zał 16'!E48+'zał 17'!E47+'zał 18'!E37+'zał 19'!E37+'zał 20'!F34+'zał 21'!F35+'zał 22'!F34</f>
        <v>13490</v>
      </c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1:15" ht="15.75">
      <c r="A217" s="1"/>
      <c r="B217" s="95"/>
      <c r="C217" s="95">
        <v>4410</v>
      </c>
      <c r="D217" s="1" t="s">
        <v>515</v>
      </c>
      <c r="E217" s="96">
        <f>F217</f>
        <v>12430</v>
      </c>
      <c r="F217" s="96">
        <f>'zał 15'!E48+'zał 16'!E49+'zał 17'!E48+'zał 18'!E38+'zał 19'!E38+'zał 20'!F35+'zał 21'!F36+'zał 22'!F35</f>
        <v>12430</v>
      </c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1:15" ht="31.5">
      <c r="A218" s="1"/>
      <c r="B218" s="95"/>
      <c r="C218" s="180">
        <v>4700</v>
      </c>
      <c r="D218" s="181" t="s">
        <v>575</v>
      </c>
      <c r="E218" s="96">
        <f>F218</f>
        <v>8900</v>
      </c>
      <c r="F218" s="96">
        <f>'zał 15'!E49+'zał 16'!E50+'zał 17'!E49+'zał 18'!E39+'zał 19'!E39+'zał 20'!F36+'zał 21'!F37+'zał 22'!F36</f>
        <v>8900</v>
      </c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1:15" ht="15.75">
      <c r="A219" s="182">
        <v>801</v>
      </c>
      <c r="B219" s="182">
        <v>80148</v>
      </c>
      <c r="C219" s="182"/>
      <c r="D219" s="183" t="s">
        <v>410</v>
      </c>
      <c r="E219" s="184">
        <f aca="true" t="shared" si="45" ref="E219:O219">SUM(E220:E234)</f>
        <v>1446593.6416</v>
      </c>
      <c r="F219" s="184">
        <f t="shared" si="45"/>
        <v>1441093.6416</v>
      </c>
      <c r="G219" s="184">
        <f t="shared" si="45"/>
        <v>557910</v>
      </c>
      <c r="H219" s="184">
        <f t="shared" si="45"/>
        <v>97327.36159999999</v>
      </c>
      <c r="I219" s="184">
        <f t="shared" si="45"/>
        <v>0</v>
      </c>
      <c r="J219" s="184">
        <f t="shared" si="45"/>
        <v>0</v>
      </c>
      <c r="K219" s="184">
        <f t="shared" si="45"/>
        <v>4000</v>
      </c>
      <c r="L219" s="184">
        <f t="shared" si="45"/>
        <v>0</v>
      </c>
      <c r="M219" s="184">
        <f t="shared" si="45"/>
        <v>0</v>
      </c>
      <c r="N219" s="184">
        <f t="shared" si="45"/>
        <v>0</v>
      </c>
      <c r="O219" s="184">
        <f t="shared" si="45"/>
        <v>5500</v>
      </c>
    </row>
    <row r="220" spans="1:15" ht="25.5" customHeight="1">
      <c r="A220" s="95"/>
      <c r="B220" s="95"/>
      <c r="C220" s="95">
        <v>3020</v>
      </c>
      <c r="D220" s="1" t="s">
        <v>499</v>
      </c>
      <c r="E220" s="96">
        <f aca="true" t="shared" si="46" ref="E220:E233">F220</f>
        <v>4000</v>
      </c>
      <c r="F220" s="96">
        <f>K220</f>
        <v>4000</v>
      </c>
      <c r="G220" s="96"/>
      <c r="H220" s="96"/>
      <c r="I220" s="96"/>
      <c r="J220" s="96"/>
      <c r="K220" s="96">
        <f>'zał 15'!J52+'zał 17'!J52+'zał 19'!J41+'zał 20'!J38+'zał 21'!J39</f>
        <v>4000</v>
      </c>
      <c r="L220" s="96"/>
      <c r="M220" s="96"/>
      <c r="N220" s="96"/>
      <c r="O220" s="96"/>
    </row>
    <row r="221" spans="1:15" ht="15.75">
      <c r="A221" s="95"/>
      <c r="B221" s="95"/>
      <c r="C221" s="95">
        <v>4010</v>
      </c>
      <c r="D221" s="1" t="s">
        <v>500</v>
      </c>
      <c r="E221" s="96">
        <f t="shared" si="46"/>
        <v>517478</v>
      </c>
      <c r="F221" s="96">
        <f>G221</f>
        <v>517478</v>
      </c>
      <c r="G221" s="96">
        <f>'zał 15'!G53+'zał 17'!G53+'zał 19'!G42+'zał 20'!G39+'zał 21'!G40</f>
        <v>517478</v>
      </c>
      <c r="H221" s="96"/>
      <c r="I221" s="96"/>
      <c r="J221" s="96"/>
      <c r="K221" s="96"/>
      <c r="L221" s="96"/>
      <c r="M221" s="96"/>
      <c r="N221" s="96"/>
      <c r="O221" s="96"/>
    </row>
    <row r="222" spans="1:15" ht="15.75">
      <c r="A222" s="95"/>
      <c r="B222" s="95"/>
      <c r="C222" s="95">
        <v>4040</v>
      </c>
      <c r="D222" s="1" t="s">
        <v>501</v>
      </c>
      <c r="E222" s="96">
        <f t="shared" si="46"/>
        <v>40432</v>
      </c>
      <c r="F222" s="96">
        <f>G222</f>
        <v>40432</v>
      </c>
      <c r="G222" s="96">
        <f>'zał 15'!G54+'zał 17'!G54+'zał 19'!G43+'zał 20'!G40+'zał 21'!G41</f>
        <v>40432</v>
      </c>
      <c r="H222" s="96"/>
      <c r="I222" s="96"/>
      <c r="J222" s="96"/>
      <c r="K222" s="96"/>
      <c r="L222" s="96"/>
      <c r="M222" s="96"/>
      <c r="N222" s="96"/>
      <c r="O222" s="96"/>
    </row>
    <row r="223" spans="1:15" ht="15.75">
      <c r="A223" s="95"/>
      <c r="B223" s="95"/>
      <c r="C223" s="95">
        <v>4110</v>
      </c>
      <c r="D223" s="1" t="s">
        <v>502</v>
      </c>
      <c r="E223" s="96">
        <f t="shared" si="46"/>
        <v>83813.5336</v>
      </c>
      <c r="F223" s="96">
        <f>H223</f>
        <v>83813.5336</v>
      </c>
      <c r="G223" s="96"/>
      <c r="H223" s="96">
        <f>'zał 15'!H55+'zał 17'!H55+'zał 19'!H44+'zał 20'!H41+'zał 21'!H42</f>
        <v>83813.5336</v>
      </c>
      <c r="I223" s="96"/>
      <c r="J223" s="96"/>
      <c r="K223" s="96"/>
      <c r="L223" s="96"/>
      <c r="M223" s="96"/>
      <c r="N223" s="96"/>
      <c r="O223" s="96"/>
    </row>
    <row r="224" spans="1:15" ht="15.75">
      <c r="A224" s="95"/>
      <c r="B224" s="95"/>
      <c r="C224" s="95">
        <v>4120</v>
      </c>
      <c r="D224" s="1" t="s">
        <v>503</v>
      </c>
      <c r="E224" s="96">
        <f t="shared" si="46"/>
        <v>13513.828</v>
      </c>
      <c r="F224" s="96">
        <f>H224</f>
        <v>13513.828</v>
      </c>
      <c r="G224" s="96"/>
      <c r="H224" s="96">
        <f>'zał 15'!H56+'zał 17'!H56+'zał 19'!H45+'zał 20'!H42+'zał 21'!H43</f>
        <v>13513.828</v>
      </c>
      <c r="I224" s="96"/>
      <c r="J224" s="96"/>
      <c r="K224" s="96"/>
      <c r="L224" s="96"/>
      <c r="M224" s="96"/>
      <c r="N224" s="96"/>
      <c r="O224" s="96"/>
    </row>
    <row r="225" spans="1:15" ht="15.75">
      <c r="A225" s="95"/>
      <c r="B225" s="95"/>
      <c r="C225" s="95">
        <v>4210</v>
      </c>
      <c r="D225" s="1" t="s">
        <v>485</v>
      </c>
      <c r="E225" s="96">
        <f t="shared" si="46"/>
        <v>46753</v>
      </c>
      <c r="F225" s="96">
        <f>'zał 21'!E44+'zał 20'!E43+'zał 19'!E46+'zał 17'!E57+'zał 15'!E57</f>
        <v>46753</v>
      </c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1:15" ht="15.75">
      <c r="A226" s="95"/>
      <c r="B226" s="95"/>
      <c r="C226" s="95">
        <v>4220</v>
      </c>
      <c r="D226" s="1" t="s">
        <v>586</v>
      </c>
      <c r="E226" s="96">
        <f t="shared" si="46"/>
        <v>699436</v>
      </c>
      <c r="F226" s="96">
        <f>'zał 21'!E45+'zał 20'!E44+'zał 19'!E47+'zał 17'!E58+'zał 15'!E58</f>
        <v>699436</v>
      </c>
      <c r="G226" s="71"/>
      <c r="H226" s="71"/>
      <c r="I226" s="71"/>
      <c r="J226" s="71"/>
      <c r="K226" s="71"/>
      <c r="L226" s="71"/>
      <c r="M226" s="169"/>
      <c r="N226" s="169"/>
      <c r="O226" s="71"/>
    </row>
    <row r="227" spans="1:15" ht="15.75">
      <c r="A227" s="95"/>
      <c r="B227" s="95"/>
      <c r="C227" s="95">
        <v>4270</v>
      </c>
      <c r="D227" s="1" t="s">
        <v>489</v>
      </c>
      <c r="E227" s="96">
        <f t="shared" si="46"/>
        <v>9000</v>
      </c>
      <c r="F227" s="96">
        <f>'zał 15'!E59+'zał 17'!E59+'zał 19'!E48+'zał 20'!E45+'zał 21'!E46</f>
        <v>9000</v>
      </c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1:15" ht="15.75">
      <c r="A228" s="95"/>
      <c r="B228" s="95"/>
      <c r="C228" s="95">
        <v>4280</v>
      </c>
      <c r="D228" s="1" t="s">
        <v>548</v>
      </c>
      <c r="E228" s="96">
        <f t="shared" si="46"/>
        <v>1210</v>
      </c>
      <c r="F228" s="96">
        <f>'zał 15'!E60+'zał 17'!E60+'zał 19'!E49+'zał 20'!E46+'zał 21'!E47</f>
        <v>1210</v>
      </c>
      <c r="G228" s="96"/>
      <c r="H228" s="96"/>
      <c r="I228" s="96"/>
      <c r="J228" s="96"/>
      <c r="K228" s="96">
        <f>'zał 15'!J60+'zał 17'!J60+'zał 19'!J49+'zał 20'!K46+'zał 21'!K47</f>
        <v>0</v>
      </c>
      <c r="L228" s="96"/>
      <c r="M228" s="96"/>
      <c r="N228" s="96"/>
      <c r="O228" s="96"/>
    </row>
    <row r="229" spans="1:256" s="185" customFormat="1" ht="15.75">
      <c r="A229" s="95"/>
      <c r="B229" s="95"/>
      <c r="C229" s="95">
        <v>4300</v>
      </c>
      <c r="D229" s="1" t="s">
        <v>481</v>
      </c>
      <c r="E229" s="96">
        <f t="shared" si="46"/>
        <v>2960</v>
      </c>
      <c r="F229" s="96">
        <f>'zał 15'!E61+'zał 17'!E61+'zał 19'!E50+'zał 20'!E47+'zał 21'!E48</f>
        <v>2960</v>
      </c>
      <c r="G229" s="96"/>
      <c r="H229" s="96"/>
      <c r="I229" s="96"/>
      <c r="J229" s="96"/>
      <c r="K229" s="96"/>
      <c r="L229" s="96"/>
      <c r="M229" s="96"/>
      <c r="N229" s="96"/>
      <c r="O229" s="96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IR229" s="153"/>
      <c r="IS229" s="153"/>
      <c r="IT229" s="153"/>
      <c r="IU229" s="153"/>
      <c r="IV229" s="153"/>
    </row>
    <row r="230" spans="1:256" s="185" customFormat="1" ht="31.5">
      <c r="A230" s="95"/>
      <c r="B230" s="95"/>
      <c r="C230" s="95">
        <v>4440</v>
      </c>
      <c r="D230" s="1" t="s">
        <v>574</v>
      </c>
      <c r="E230" s="96">
        <f t="shared" si="46"/>
        <v>18895.28</v>
      </c>
      <c r="F230" s="96">
        <f>'zał 15'!E62+'zał 17'!E62+'zał 19'!E52+'zał 20'!E48+'zał 21'!E49</f>
        <v>18895.28</v>
      </c>
      <c r="G230" s="96"/>
      <c r="H230" s="96"/>
      <c r="I230" s="96"/>
      <c r="J230" s="96"/>
      <c r="K230" s="96"/>
      <c r="L230" s="96"/>
      <c r="M230" s="96"/>
      <c r="N230" s="96"/>
      <c r="O230" s="96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IR230" s="153"/>
      <c r="IS230" s="153"/>
      <c r="IT230" s="153"/>
      <c r="IU230" s="153"/>
      <c r="IV230" s="153"/>
    </row>
    <row r="231" spans="1:256" s="185" customFormat="1" ht="31.5">
      <c r="A231" s="95"/>
      <c r="B231" s="95"/>
      <c r="C231" s="180">
        <v>4700</v>
      </c>
      <c r="D231" s="181" t="s">
        <v>575</v>
      </c>
      <c r="E231" s="96">
        <f t="shared" si="46"/>
        <v>1000</v>
      </c>
      <c r="F231" s="96">
        <f>'zał 15'!E63+'zał 17'!E63+'zał 19'!E53+'zał 20'!E49+'zał 21'!E50</f>
        <v>1000</v>
      </c>
      <c r="G231" s="96"/>
      <c r="H231" s="96"/>
      <c r="I231" s="96"/>
      <c r="J231" s="96"/>
      <c r="K231" s="96"/>
      <c r="L231" s="96"/>
      <c r="M231" s="96"/>
      <c r="N231" s="96"/>
      <c r="O231" s="96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IR231" s="153"/>
      <c r="IS231" s="153"/>
      <c r="IT231" s="153"/>
      <c r="IU231" s="153"/>
      <c r="IV231" s="153"/>
    </row>
    <row r="232" spans="1:15" ht="31.5">
      <c r="A232" s="95"/>
      <c r="B232" s="95"/>
      <c r="C232" s="95">
        <v>4740</v>
      </c>
      <c r="D232" s="1" t="s">
        <v>587</v>
      </c>
      <c r="E232" s="96">
        <f t="shared" si="46"/>
        <v>1102</v>
      </c>
      <c r="F232" s="96">
        <f>'zał 15'!E64+'zał 17'!E64+'zał 19'!E54+'zał 20'!E50+'zał 21'!E51</f>
        <v>1102</v>
      </c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1:15" ht="31.5">
      <c r="A233" s="95"/>
      <c r="B233" s="95"/>
      <c r="C233" s="95">
        <v>4750</v>
      </c>
      <c r="D233" s="1" t="s">
        <v>521</v>
      </c>
      <c r="E233" s="96">
        <f t="shared" si="46"/>
        <v>1500</v>
      </c>
      <c r="F233" s="96">
        <f>'zał 15'!E65+'zał 17'!E65+'zał 19'!E55+'zał 20'!E51+'zał 21'!E52</f>
        <v>1500</v>
      </c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1:15" ht="31.5">
      <c r="A234" s="95"/>
      <c r="B234" s="95"/>
      <c r="C234" s="95">
        <v>6060</v>
      </c>
      <c r="D234" s="1" t="s">
        <v>588</v>
      </c>
      <c r="E234" s="96">
        <f>O234</f>
        <v>5500</v>
      </c>
      <c r="F234" s="96"/>
      <c r="G234" s="96"/>
      <c r="H234" s="96"/>
      <c r="I234" s="96"/>
      <c r="J234" s="96"/>
      <c r="K234" s="96"/>
      <c r="L234" s="96"/>
      <c r="M234" s="96"/>
      <c r="N234" s="96"/>
      <c r="O234" s="96">
        <f>'zał 11'!E50</f>
        <v>5500</v>
      </c>
    </row>
    <row r="235" spans="1:15" ht="15.75">
      <c r="A235" s="94"/>
      <c r="B235" s="94">
        <v>80195</v>
      </c>
      <c r="C235" s="94"/>
      <c r="D235" s="66" t="s">
        <v>306</v>
      </c>
      <c r="E235" s="88">
        <f aca="true" t="shared" si="47" ref="E235:O235">SUM(E236:E239)</f>
        <v>161520.84483000002</v>
      </c>
      <c r="F235" s="88">
        <f t="shared" si="47"/>
        <v>161520.84483000002</v>
      </c>
      <c r="G235" s="88">
        <f t="shared" si="47"/>
        <v>0</v>
      </c>
      <c r="H235" s="88">
        <f t="shared" si="47"/>
        <v>0</v>
      </c>
      <c r="I235" s="88">
        <f t="shared" si="47"/>
        <v>0</v>
      </c>
      <c r="J235" s="88">
        <f t="shared" si="47"/>
        <v>3000</v>
      </c>
      <c r="K235" s="88">
        <f t="shared" si="47"/>
        <v>0</v>
      </c>
      <c r="L235" s="88">
        <f t="shared" si="47"/>
        <v>0</v>
      </c>
      <c r="M235" s="88">
        <f t="shared" si="47"/>
        <v>0</v>
      </c>
      <c r="N235" s="88">
        <f t="shared" si="47"/>
        <v>0</v>
      </c>
      <c r="O235" s="88">
        <f t="shared" si="47"/>
        <v>0</v>
      </c>
    </row>
    <row r="236" spans="1:15" ht="47.25">
      <c r="A236" s="95"/>
      <c r="B236" s="95"/>
      <c r="C236" s="95">
        <v>2820</v>
      </c>
      <c r="D236" s="1" t="s">
        <v>589</v>
      </c>
      <c r="E236" s="96">
        <f>F236</f>
        <v>3000</v>
      </c>
      <c r="F236" s="71">
        <f>J236</f>
        <v>3000</v>
      </c>
      <c r="G236" s="71"/>
      <c r="H236" s="71"/>
      <c r="I236" s="71"/>
      <c r="J236" s="96">
        <f>'zał 27'!E8</f>
        <v>3000</v>
      </c>
      <c r="K236" s="96"/>
      <c r="L236" s="96"/>
      <c r="M236" s="169"/>
      <c r="N236" s="169"/>
      <c r="O236" s="71"/>
    </row>
    <row r="237" spans="1:15" ht="15.75">
      <c r="A237" s="95"/>
      <c r="B237" s="95"/>
      <c r="C237" s="95">
        <v>4210</v>
      </c>
      <c r="D237" s="1" t="s">
        <v>485</v>
      </c>
      <c r="E237" s="96">
        <f>F237</f>
        <v>5700</v>
      </c>
      <c r="F237" s="96">
        <v>5700</v>
      </c>
      <c r="G237" s="71"/>
      <c r="H237" s="71"/>
      <c r="I237" s="71"/>
      <c r="J237" s="71"/>
      <c r="K237" s="71"/>
      <c r="L237" s="71"/>
      <c r="M237" s="169"/>
      <c r="N237" s="169"/>
      <c r="O237" s="71"/>
    </row>
    <row r="238" spans="1:15" ht="15.75">
      <c r="A238" s="95"/>
      <c r="B238" s="95"/>
      <c r="C238" s="95">
        <v>4300</v>
      </c>
      <c r="D238" s="1" t="s">
        <v>569</v>
      </c>
      <c r="E238" s="96">
        <f>F238</f>
        <v>4000</v>
      </c>
      <c r="F238" s="96">
        <v>4000</v>
      </c>
      <c r="G238" s="71"/>
      <c r="H238" s="71"/>
      <c r="I238" s="71"/>
      <c r="J238" s="71"/>
      <c r="K238" s="71"/>
      <c r="L238" s="71"/>
      <c r="M238" s="169"/>
      <c r="N238" s="169"/>
      <c r="O238" s="71"/>
    </row>
    <row r="239" spans="1:15" ht="31.5">
      <c r="A239" s="1"/>
      <c r="B239" s="1"/>
      <c r="C239" s="95">
        <v>4440</v>
      </c>
      <c r="D239" s="1" t="s">
        <v>517</v>
      </c>
      <c r="E239" s="96">
        <f>F239</f>
        <v>148820.84483000002</v>
      </c>
      <c r="F239" s="96">
        <f>'zał 15'!F68+'zał 16'!F52+'zał 17'!F68+'zał 18'!F41+'zał 19'!F58+'zał 20'!F54+'zał 21'!F54</f>
        <v>148820.84483000002</v>
      </c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1:15" ht="15.75">
      <c r="A240" s="64">
        <v>851</v>
      </c>
      <c r="B240" s="64"/>
      <c r="C240" s="64"/>
      <c r="D240" s="64" t="s">
        <v>590</v>
      </c>
      <c r="E240" s="93">
        <f aca="true" t="shared" si="48" ref="E240:O240">E241+E245</f>
        <v>330000</v>
      </c>
      <c r="F240" s="93">
        <f t="shared" si="48"/>
        <v>330000</v>
      </c>
      <c r="G240" s="93">
        <f t="shared" si="48"/>
        <v>90000</v>
      </c>
      <c r="H240" s="93">
        <f t="shared" si="48"/>
        <v>12800</v>
      </c>
      <c r="I240" s="93">
        <f t="shared" si="48"/>
        <v>0</v>
      </c>
      <c r="J240" s="93">
        <f t="shared" si="48"/>
        <v>106000</v>
      </c>
      <c r="K240" s="93">
        <f t="shared" si="48"/>
        <v>0</v>
      </c>
      <c r="L240" s="93">
        <f t="shared" si="48"/>
        <v>0</v>
      </c>
      <c r="M240" s="93">
        <f t="shared" si="48"/>
        <v>0</v>
      </c>
      <c r="N240" s="93">
        <f t="shared" si="48"/>
        <v>0</v>
      </c>
      <c r="O240" s="93">
        <f t="shared" si="48"/>
        <v>0</v>
      </c>
    </row>
    <row r="241" spans="1:15" ht="15.75">
      <c r="A241" s="186"/>
      <c r="B241" s="186">
        <v>85153</v>
      </c>
      <c r="C241" s="186"/>
      <c r="D241" s="187" t="s">
        <v>591</v>
      </c>
      <c r="E241" s="188">
        <f aca="true" t="shared" si="49" ref="E241:O241">SUM(E242:E244)</f>
        <v>50000</v>
      </c>
      <c r="F241" s="188">
        <f t="shared" si="49"/>
        <v>50000</v>
      </c>
      <c r="G241" s="188">
        <f t="shared" si="49"/>
        <v>0</v>
      </c>
      <c r="H241" s="188">
        <f t="shared" si="49"/>
        <v>0</v>
      </c>
      <c r="I241" s="188">
        <f t="shared" si="49"/>
        <v>0</v>
      </c>
      <c r="J241" s="188">
        <f t="shared" si="49"/>
        <v>50000</v>
      </c>
      <c r="K241" s="188">
        <f t="shared" si="49"/>
        <v>0</v>
      </c>
      <c r="L241" s="188">
        <f t="shared" si="49"/>
        <v>0</v>
      </c>
      <c r="M241" s="188">
        <f t="shared" si="49"/>
        <v>0</v>
      </c>
      <c r="N241" s="188">
        <f t="shared" si="49"/>
        <v>0</v>
      </c>
      <c r="O241" s="188">
        <f t="shared" si="49"/>
        <v>0</v>
      </c>
    </row>
    <row r="242" spans="1:15" ht="47.25">
      <c r="A242" s="177"/>
      <c r="B242" s="177"/>
      <c r="C242" s="177">
        <v>2310</v>
      </c>
      <c r="D242" s="189" t="s">
        <v>592</v>
      </c>
      <c r="E242" s="96">
        <f>F242+O242</f>
        <v>10000</v>
      </c>
      <c r="F242" s="71">
        <f>SUM(G242:N242)</f>
        <v>10000</v>
      </c>
      <c r="G242" s="71"/>
      <c r="H242" s="71"/>
      <c r="I242" s="71"/>
      <c r="J242" s="190">
        <f>'zał 26'!E14</f>
        <v>10000</v>
      </c>
      <c r="K242" s="190"/>
      <c r="L242" s="190"/>
      <c r="M242" s="169"/>
      <c r="N242" s="169"/>
      <c r="O242" s="71"/>
    </row>
    <row r="243" spans="1:15" ht="47.25">
      <c r="A243" s="177"/>
      <c r="B243" s="177"/>
      <c r="C243" s="177">
        <v>2820</v>
      </c>
      <c r="D243" s="169" t="s">
        <v>593</v>
      </c>
      <c r="E243" s="96">
        <f>F243+O243</f>
        <v>20000</v>
      </c>
      <c r="F243" s="71">
        <f>SUM(G243:N243)</f>
        <v>20000</v>
      </c>
      <c r="G243" s="71"/>
      <c r="H243" s="71"/>
      <c r="I243" s="71"/>
      <c r="J243" s="190">
        <f>'zał 27'!E11</f>
        <v>20000</v>
      </c>
      <c r="K243" s="190"/>
      <c r="L243" s="190"/>
      <c r="M243" s="169"/>
      <c r="N243" s="169"/>
      <c r="O243" s="71"/>
    </row>
    <row r="244" spans="1:15" ht="63">
      <c r="A244" s="177"/>
      <c r="B244" s="177"/>
      <c r="C244" s="177">
        <v>2830</v>
      </c>
      <c r="D244" s="169" t="s">
        <v>594</v>
      </c>
      <c r="E244" s="96">
        <f>F244+O244</f>
        <v>20000</v>
      </c>
      <c r="F244" s="71">
        <f>SUM(G244:N244)</f>
        <v>20000</v>
      </c>
      <c r="G244" s="71"/>
      <c r="H244" s="71"/>
      <c r="I244" s="71"/>
      <c r="J244" s="190">
        <f>'zał 27'!E12</f>
        <v>20000</v>
      </c>
      <c r="K244" s="190"/>
      <c r="L244" s="190"/>
      <c r="M244" s="169"/>
      <c r="N244" s="169"/>
      <c r="O244" s="71"/>
    </row>
    <row r="245" spans="1:15" ht="15.75">
      <c r="A245" s="186"/>
      <c r="B245" s="186">
        <v>85154</v>
      </c>
      <c r="C245" s="186"/>
      <c r="D245" s="187" t="s">
        <v>595</v>
      </c>
      <c r="E245" s="188">
        <f aca="true" t="shared" si="50" ref="E245:O245">SUM(E246:E259)</f>
        <v>280000</v>
      </c>
      <c r="F245" s="188">
        <f t="shared" si="50"/>
        <v>280000</v>
      </c>
      <c r="G245" s="188">
        <f t="shared" si="50"/>
        <v>90000</v>
      </c>
      <c r="H245" s="188">
        <f t="shared" si="50"/>
        <v>12800</v>
      </c>
      <c r="I245" s="188">
        <f t="shared" si="50"/>
        <v>0</v>
      </c>
      <c r="J245" s="188">
        <f t="shared" si="50"/>
        <v>56000</v>
      </c>
      <c r="K245" s="188">
        <f t="shared" si="50"/>
        <v>0</v>
      </c>
      <c r="L245" s="188">
        <f t="shared" si="50"/>
        <v>0</v>
      </c>
      <c r="M245" s="188">
        <f t="shared" si="50"/>
        <v>0</v>
      </c>
      <c r="N245" s="188">
        <f t="shared" si="50"/>
        <v>0</v>
      </c>
      <c r="O245" s="188">
        <f t="shared" si="50"/>
        <v>0</v>
      </c>
    </row>
    <row r="246" spans="1:15" ht="47.25">
      <c r="A246" s="177"/>
      <c r="B246" s="177"/>
      <c r="C246" s="177">
        <v>2310</v>
      </c>
      <c r="D246" s="189" t="s">
        <v>592</v>
      </c>
      <c r="E246" s="96">
        <f aca="true" t="shared" si="51" ref="E246:E258">F246+O246</f>
        <v>6000</v>
      </c>
      <c r="F246" s="71">
        <f aca="true" t="shared" si="52" ref="F246:F251">SUM(G246:N246)</f>
        <v>6000</v>
      </c>
      <c r="G246" s="71"/>
      <c r="H246" s="71"/>
      <c r="I246" s="71"/>
      <c r="J246" s="190">
        <f>'zał 26'!E16</f>
        <v>6000</v>
      </c>
      <c r="K246" s="190"/>
      <c r="L246" s="190"/>
      <c r="M246" s="169"/>
      <c r="N246" s="169"/>
      <c r="O246" s="71"/>
    </row>
    <row r="247" spans="1:15" ht="47.25">
      <c r="A247" s="177"/>
      <c r="B247" s="177"/>
      <c r="C247" s="177">
        <v>2820</v>
      </c>
      <c r="D247" s="169" t="s">
        <v>593</v>
      </c>
      <c r="E247" s="96">
        <f t="shared" si="51"/>
        <v>20000</v>
      </c>
      <c r="F247" s="71">
        <f t="shared" si="52"/>
        <v>20000</v>
      </c>
      <c r="G247" s="71"/>
      <c r="H247" s="71"/>
      <c r="I247" s="71"/>
      <c r="J247" s="190">
        <f>'zał 27'!E14</f>
        <v>20000</v>
      </c>
      <c r="K247" s="190"/>
      <c r="L247" s="190"/>
      <c r="M247" s="169"/>
      <c r="N247" s="169"/>
      <c r="O247" s="71"/>
    </row>
    <row r="248" spans="1:15" ht="63">
      <c r="A248" s="177"/>
      <c r="B248" s="177"/>
      <c r="C248" s="177">
        <v>2830</v>
      </c>
      <c r="D248" s="169" t="s">
        <v>596</v>
      </c>
      <c r="E248" s="96">
        <f t="shared" si="51"/>
        <v>30000</v>
      </c>
      <c r="F248" s="71">
        <f t="shared" si="52"/>
        <v>30000</v>
      </c>
      <c r="G248" s="71"/>
      <c r="H248" s="71"/>
      <c r="I248" s="71"/>
      <c r="J248" s="190">
        <f>'zał 27'!E15</f>
        <v>30000</v>
      </c>
      <c r="K248" s="190"/>
      <c r="L248" s="190"/>
      <c r="M248" s="169"/>
      <c r="N248" s="169"/>
      <c r="O248" s="71"/>
    </row>
    <row r="249" spans="1:15" ht="15.75">
      <c r="A249" s="177"/>
      <c r="B249" s="177"/>
      <c r="C249" s="177">
        <v>4110</v>
      </c>
      <c r="D249" s="189" t="s">
        <v>502</v>
      </c>
      <c r="E249" s="96">
        <f t="shared" si="51"/>
        <v>11000</v>
      </c>
      <c r="F249" s="71">
        <f t="shared" si="52"/>
        <v>11000</v>
      </c>
      <c r="G249" s="71"/>
      <c r="H249" s="190">
        <v>11000</v>
      </c>
      <c r="I249" s="190"/>
      <c r="J249" s="71"/>
      <c r="K249" s="71"/>
      <c r="L249" s="71"/>
      <c r="M249" s="169"/>
      <c r="N249" s="169"/>
      <c r="O249" s="71"/>
    </row>
    <row r="250" spans="1:15" ht="15.75">
      <c r="A250" s="177"/>
      <c r="B250" s="177"/>
      <c r="C250" s="177">
        <v>4120</v>
      </c>
      <c r="D250" s="189" t="s">
        <v>503</v>
      </c>
      <c r="E250" s="96">
        <f t="shared" si="51"/>
        <v>1800</v>
      </c>
      <c r="F250" s="71">
        <f t="shared" si="52"/>
        <v>1800</v>
      </c>
      <c r="G250" s="71"/>
      <c r="H250" s="190">
        <v>1800</v>
      </c>
      <c r="I250" s="190"/>
      <c r="J250" s="71"/>
      <c r="K250" s="71"/>
      <c r="L250" s="71"/>
      <c r="M250" s="169"/>
      <c r="N250" s="169"/>
      <c r="O250" s="71"/>
    </row>
    <row r="251" spans="1:15" ht="15.75">
      <c r="A251" s="177"/>
      <c r="B251" s="177"/>
      <c r="C251" s="177">
        <v>4170</v>
      </c>
      <c r="D251" s="189" t="s">
        <v>505</v>
      </c>
      <c r="E251" s="96">
        <f t="shared" si="51"/>
        <v>90000</v>
      </c>
      <c r="F251" s="71">
        <f t="shared" si="52"/>
        <v>90000</v>
      </c>
      <c r="G251" s="190">
        <v>90000</v>
      </c>
      <c r="H251" s="71"/>
      <c r="I251" s="71"/>
      <c r="J251" s="71"/>
      <c r="K251" s="71"/>
      <c r="L251" s="71"/>
      <c r="M251" s="169"/>
      <c r="N251" s="169"/>
      <c r="O251" s="71"/>
    </row>
    <row r="252" spans="1:15" ht="15.75">
      <c r="A252" s="177"/>
      <c r="B252" s="177"/>
      <c r="C252" s="177">
        <v>4210</v>
      </c>
      <c r="D252" s="189" t="s">
        <v>498</v>
      </c>
      <c r="E252" s="96">
        <f t="shared" si="51"/>
        <v>32000</v>
      </c>
      <c r="F252" s="190">
        <v>32000</v>
      </c>
      <c r="G252" s="71"/>
      <c r="H252" s="71"/>
      <c r="I252" s="71"/>
      <c r="J252" s="71"/>
      <c r="K252" s="71"/>
      <c r="L252" s="71"/>
      <c r="M252" s="169"/>
      <c r="N252" s="169"/>
      <c r="O252" s="71"/>
    </row>
    <row r="253" spans="1:15" ht="15.75">
      <c r="A253" s="177"/>
      <c r="B253" s="177"/>
      <c r="C253" s="177">
        <v>4260</v>
      </c>
      <c r="D253" s="189" t="s">
        <v>547</v>
      </c>
      <c r="E253" s="96">
        <f t="shared" si="51"/>
        <v>2000</v>
      </c>
      <c r="F253" s="190">
        <v>2000</v>
      </c>
      <c r="G253" s="71"/>
      <c r="H253" s="71"/>
      <c r="I253" s="71"/>
      <c r="J253" s="71"/>
      <c r="K253" s="71"/>
      <c r="L253" s="71"/>
      <c r="M253" s="169"/>
      <c r="N253" s="169"/>
      <c r="O253" s="71"/>
    </row>
    <row r="254" spans="1:15" ht="15.75">
      <c r="A254" s="169"/>
      <c r="B254" s="169"/>
      <c r="C254" s="177">
        <v>4300</v>
      </c>
      <c r="D254" s="189" t="s">
        <v>481</v>
      </c>
      <c r="E254" s="96">
        <f t="shared" si="51"/>
        <v>72900</v>
      </c>
      <c r="F254" s="190">
        <f>63000+9900</f>
        <v>72900</v>
      </c>
      <c r="G254" s="71"/>
      <c r="H254" s="71"/>
      <c r="I254" s="71"/>
      <c r="J254" s="71"/>
      <c r="K254" s="71"/>
      <c r="L254" s="71"/>
      <c r="M254" s="169"/>
      <c r="N254" s="169"/>
      <c r="O254" s="71"/>
    </row>
    <row r="255" spans="1:15" ht="15.75">
      <c r="A255" s="169"/>
      <c r="B255" s="169"/>
      <c r="C255" s="177">
        <v>4350</v>
      </c>
      <c r="D255" s="189" t="s">
        <v>510</v>
      </c>
      <c r="E255" s="96">
        <f t="shared" si="51"/>
        <v>1000</v>
      </c>
      <c r="F255" s="190">
        <v>1000</v>
      </c>
      <c r="G255" s="71"/>
      <c r="H255" s="71"/>
      <c r="I255" s="71"/>
      <c r="J255" s="71"/>
      <c r="K255" s="71"/>
      <c r="L255" s="71"/>
      <c r="M255" s="169"/>
      <c r="N255" s="169"/>
      <c r="O255" s="71"/>
    </row>
    <row r="256" spans="1:15" ht="31.5">
      <c r="A256" s="169"/>
      <c r="B256" s="169"/>
      <c r="C256" s="177">
        <v>4370</v>
      </c>
      <c r="D256" s="173" t="s">
        <v>549</v>
      </c>
      <c r="E256" s="96">
        <f t="shared" si="51"/>
        <v>6600</v>
      </c>
      <c r="F256" s="190">
        <v>6600</v>
      </c>
      <c r="G256" s="71"/>
      <c r="H256" s="71"/>
      <c r="I256" s="71"/>
      <c r="J256" s="71"/>
      <c r="K256" s="71"/>
      <c r="L256" s="71"/>
      <c r="M256" s="169"/>
      <c r="N256" s="169"/>
      <c r="O256" s="71"/>
    </row>
    <row r="257" spans="1:15" ht="15.75">
      <c r="A257" s="169"/>
      <c r="B257" s="169"/>
      <c r="C257" s="177">
        <v>4410</v>
      </c>
      <c r="D257" s="189" t="s">
        <v>515</v>
      </c>
      <c r="E257" s="96">
        <f t="shared" si="51"/>
        <v>2500</v>
      </c>
      <c r="F257" s="190">
        <v>2500</v>
      </c>
      <c r="G257" s="71"/>
      <c r="H257" s="71"/>
      <c r="I257" s="71"/>
      <c r="J257" s="71"/>
      <c r="K257" s="71"/>
      <c r="L257" s="71"/>
      <c r="M257" s="169"/>
      <c r="N257" s="169"/>
      <c r="O257" s="71"/>
    </row>
    <row r="258" spans="1:15" ht="31.5">
      <c r="A258" s="169"/>
      <c r="B258" s="169"/>
      <c r="C258" s="177">
        <v>4700</v>
      </c>
      <c r="D258" s="169" t="s">
        <v>597</v>
      </c>
      <c r="E258" s="96">
        <f t="shared" si="51"/>
        <v>4000</v>
      </c>
      <c r="F258" s="190">
        <v>4000</v>
      </c>
      <c r="G258" s="71"/>
      <c r="H258" s="71"/>
      <c r="I258" s="71"/>
      <c r="J258" s="71"/>
      <c r="K258" s="71"/>
      <c r="L258" s="71"/>
      <c r="M258" s="169"/>
      <c r="N258" s="169"/>
      <c r="O258" s="71"/>
    </row>
    <row r="259" spans="1:15" ht="31.5">
      <c r="A259" s="95"/>
      <c r="B259" s="95"/>
      <c r="C259" s="95">
        <v>4740</v>
      </c>
      <c r="D259" s="1" t="s">
        <v>587</v>
      </c>
      <c r="E259" s="96">
        <f>F259</f>
        <v>200</v>
      </c>
      <c r="F259" s="96">
        <v>200</v>
      </c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1:15" ht="15.75">
      <c r="A260" s="64">
        <v>852</v>
      </c>
      <c r="B260" s="64"/>
      <c r="C260" s="64"/>
      <c r="D260" s="64" t="s">
        <v>440</v>
      </c>
      <c r="E260" s="93">
        <f aca="true" t="shared" si="53" ref="E260:O260">E274+E277+E285+E306+E318+E261+E272+E283</f>
        <v>3361525.8680000002</v>
      </c>
      <c r="F260" s="93">
        <f t="shared" si="53"/>
        <v>3361525.8680000002</v>
      </c>
      <c r="G260" s="93">
        <f t="shared" si="53"/>
        <v>1015898.6</v>
      </c>
      <c r="H260" s="93">
        <f t="shared" si="53"/>
        <v>176927.26799999998</v>
      </c>
      <c r="I260" s="93">
        <f t="shared" si="53"/>
        <v>150350</v>
      </c>
      <c r="J260" s="93">
        <f t="shared" si="53"/>
        <v>12600</v>
      </c>
      <c r="K260" s="93">
        <f t="shared" si="53"/>
        <v>1665000</v>
      </c>
      <c r="L260" s="93">
        <f t="shared" si="53"/>
        <v>0</v>
      </c>
      <c r="M260" s="93">
        <f t="shared" si="53"/>
        <v>0</v>
      </c>
      <c r="N260" s="93">
        <f t="shared" si="53"/>
        <v>0</v>
      </c>
      <c r="O260" s="93">
        <f t="shared" si="53"/>
        <v>0</v>
      </c>
    </row>
    <row r="261" spans="1:15" ht="63">
      <c r="A261" s="66"/>
      <c r="B261" s="94">
        <v>85212</v>
      </c>
      <c r="C261" s="94"/>
      <c r="D261" s="57" t="s">
        <v>598</v>
      </c>
      <c r="E261" s="88">
        <f aca="true" t="shared" si="54" ref="E261:O261">SUM(E262:E271)</f>
        <v>55180</v>
      </c>
      <c r="F261" s="88">
        <f t="shared" si="54"/>
        <v>55180</v>
      </c>
      <c r="G261" s="88">
        <f t="shared" si="54"/>
        <v>37470</v>
      </c>
      <c r="H261" s="88">
        <f t="shared" si="54"/>
        <v>6810</v>
      </c>
      <c r="I261" s="88">
        <f t="shared" si="54"/>
        <v>0</v>
      </c>
      <c r="J261" s="88">
        <f t="shared" si="54"/>
        <v>0</v>
      </c>
      <c r="K261" s="88">
        <f t="shared" si="54"/>
        <v>0</v>
      </c>
      <c r="L261" s="88">
        <f t="shared" si="54"/>
        <v>0</v>
      </c>
      <c r="M261" s="88">
        <f t="shared" si="54"/>
        <v>0</v>
      </c>
      <c r="N261" s="88">
        <f t="shared" si="54"/>
        <v>0</v>
      </c>
      <c r="O261" s="88">
        <f t="shared" si="54"/>
        <v>0</v>
      </c>
    </row>
    <row r="262" spans="1:15" ht="15.75">
      <c r="A262" s="95"/>
      <c r="B262" s="95"/>
      <c r="C262" s="95">
        <v>4010</v>
      </c>
      <c r="D262" s="60" t="s">
        <v>545</v>
      </c>
      <c r="E262" s="96">
        <f aca="true" t="shared" si="55" ref="E262:E271">F262+O262</f>
        <v>37470</v>
      </c>
      <c r="F262" s="71">
        <f>SUM(G262:N262)</f>
        <v>37470</v>
      </c>
      <c r="G262" s="96">
        <v>37470</v>
      </c>
      <c r="H262" s="71"/>
      <c r="I262" s="71"/>
      <c r="J262" s="71"/>
      <c r="K262" s="71"/>
      <c r="L262" s="71"/>
      <c r="M262" s="169"/>
      <c r="N262" s="169"/>
      <c r="O262" s="71"/>
    </row>
    <row r="263" spans="1:15" ht="15.75">
      <c r="A263" s="95"/>
      <c r="B263" s="95"/>
      <c r="C263" s="95">
        <v>4110</v>
      </c>
      <c r="D263" s="60" t="s">
        <v>502</v>
      </c>
      <c r="E263" s="96">
        <f t="shared" si="55"/>
        <v>5900</v>
      </c>
      <c r="F263" s="71">
        <f>SUM(G263:N263)</f>
        <v>5900</v>
      </c>
      <c r="G263" s="71"/>
      <c r="H263" s="96">
        <v>5900</v>
      </c>
      <c r="I263" s="96"/>
      <c r="J263" s="71"/>
      <c r="K263" s="71"/>
      <c r="L263" s="71"/>
      <c r="M263" s="169"/>
      <c r="N263" s="169"/>
      <c r="O263" s="71"/>
    </row>
    <row r="264" spans="1:15" ht="15.75">
      <c r="A264" s="95"/>
      <c r="B264" s="95"/>
      <c r="C264" s="95">
        <v>4120</v>
      </c>
      <c r="D264" s="60" t="s">
        <v>503</v>
      </c>
      <c r="E264" s="96">
        <f t="shared" si="55"/>
        <v>910</v>
      </c>
      <c r="F264" s="71">
        <f>SUM(G264:N264)</f>
        <v>910</v>
      </c>
      <c r="G264" s="71"/>
      <c r="H264" s="96">
        <v>910</v>
      </c>
      <c r="I264" s="96"/>
      <c r="J264" s="71"/>
      <c r="K264" s="71"/>
      <c r="L264" s="71"/>
      <c r="M264" s="169"/>
      <c r="N264" s="169"/>
      <c r="O264" s="71"/>
    </row>
    <row r="265" spans="1:15" ht="15.75">
      <c r="A265" s="95"/>
      <c r="B265" s="95"/>
      <c r="C265" s="95">
        <v>4210</v>
      </c>
      <c r="D265" s="60" t="s">
        <v>555</v>
      </c>
      <c r="E265" s="96">
        <f t="shared" si="55"/>
        <v>3200</v>
      </c>
      <c r="F265" s="96">
        <v>3200</v>
      </c>
      <c r="G265" s="71"/>
      <c r="H265" s="71"/>
      <c r="I265" s="71"/>
      <c r="J265" s="71"/>
      <c r="K265" s="71"/>
      <c r="L265" s="71"/>
      <c r="M265" s="169"/>
      <c r="N265" s="169"/>
      <c r="O265" s="71"/>
    </row>
    <row r="266" spans="1:15" ht="15.75">
      <c r="A266" s="95"/>
      <c r="B266" s="95"/>
      <c r="C266" s="95">
        <v>4300</v>
      </c>
      <c r="D266" s="60" t="s">
        <v>481</v>
      </c>
      <c r="E266" s="96">
        <f t="shared" si="55"/>
        <v>4000</v>
      </c>
      <c r="F266" s="96">
        <v>4000</v>
      </c>
      <c r="G266" s="71"/>
      <c r="H266" s="71"/>
      <c r="I266" s="71"/>
      <c r="J266" s="71"/>
      <c r="K266" s="71"/>
      <c r="L266" s="71"/>
      <c r="M266" s="169"/>
      <c r="N266" s="169"/>
      <c r="O266" s="71"/>
    </row>
    <row r="267" spans="1:15" ht="31.5">
      <c r="A267" s="95"/>
      <c r="B267" s="95"/>
      <c r="C267" s="95">
        <v>4370</v>
      </c>
      <c r="D267" s="60" t="s">
        <v>512</v>
      </c>
      <c r="E267" s="96">
        <f t="shared" si="55"/>
        <v>500</v>
      </c>
      <c r="F267" s="96">
        <v>500</v>
      </c>
      <c r="G267" s="71"/>
      <c r="H267" s="71"/>
      <c r="I267" s="71"/>
      <c r="J267" s="71"/>
      <c r="K267" s="71"/>
      <c r="L267" s="71"/>
      <c r="M267" s="169"/>
      <c r="N267" s="169"/>
      <c r="O267" s="71"/>
    </row>
    <row r="268" spans="1:15" ht="15.75">
      <c r="A268" s="95"/>
      <c r="B268" s="95"/>
      <c r="C268" s="95">
        <v>4410</v>
      </c>
      <c r="D268" s="60" t="s">
        <v>572</v>
      </c>
      <c r="E268" s="96">
        <f t="shared" si="55"/>
        <v>600</v>
      </c>
      <c r="F268" s="96">
        <v>600</v>
      </c>
      <c r="G268" s="71"/>
      <c r="H268" s="71"/>
      <c r="I268" s="71"/>
      <c r="J268" s="71"/>
      <c r="K268" s="71"/>
      <c r="L268" s="71"/>
      <c r="M268" s="169"/>
      <c r="N268" s="169"/>
      <c r="O268" s="71"/>
    </row>
    <row r="269" spans="1:15" ht="31.5">
      <c r="A269" s="95"/>
      <c r="B269" s="95"/>
      <c r="C269" s="95">
        <v>4700</v>
      </c>
      <c r="D269" s="60" t="s">
        <v>597</v>
      </c>
      <c r="E269" s="96">
        <f t="shared" si="55"/>
        <v>1000</v>
      </c>
      <c r="F269" s="96">
        <v>1000</v>
      </c>
      <c r="G269" s="71"/>
      <c r="H269" s="71"/>
      <c r="I269" s="71"/>
      <c r="J269" s="71"/>
      <c r="K269" s="71"/>
      <c r="L269" s="71"/>
      <c r="M269" s="169"/>
      <c r="N269" s="169"/>
      <c r="O269" s="71"/>
    </row>
    <row r="270" spans="1:15" ht="31.5">
      <c r="A270" s="95"/>
      <c r="B270" s="95"/>
      <c r="C270" s="95">
        <v>4740</v>
      </c>
      <c r="D270" s="60" t="s">
        <v>599</v>
      </c>
      <c r="E270" s="96">
        <f t="shared" si="55"/>
        <v>1000</v>
      </c>
      <c r="F270" s="96">
        <v>1000</v>
      </c>
      <c r="G270" s="71"/>
      <c r="H270" s="71"/>
      <c r="I270" s="71"/>
      <c r="J270" s="71"/>
      <c r="K270" s="71"/>
      <c r="L270" s="71"/>
      <c r="M270" s="169"/>
      <c r="N270" s="169"/>
      <c r="O270" s="71"/>
    </row>
    <row r="271" spans="1:15" ht="31.5">
      <c r="A271" s="95"/>
      <c r="B271" s="95"/>
      <c r="C271" s="95">
        <v>4750</v>
      </c>
      <c r="D271" s="60" t="s">
        <v>600</v>
      </c>
      <c r="E271" s="96">
        <f t="shared" si="55"/>
        <v>600</v>
      </c>
      <c r="F271" s="96">
        <v>600</v>
      </c>
      <c r="G271" s="71"/>
      <c r="H271" s="71"/>
      <c r="I271" s="71"/>
      <c r="J271" s="71"/>
      <c r="K271" s="71"/>
      <c r="L271" s="71"/>
      <c r="M271" s="169"/>
      <c r="N271" s="169"/>
      <c r="O271" s="71"/>
    </row>
    <row r="272" spans="1:15" ht="63">
      <c r="A272" s="66"/>
      <c r="B272" s="94">
        <v>85213</v>
      </c>
      <c r="C272" s="94"/>
      <c r="D272" s="57" t="s">
        <v>601</v>
      </c>
      <c r="E272" s="88">
        <f aca="true" t="shared" si="56" ref="E272:O272">E273</f>
        <v>30000</v>
      </c>
      <c r="F272" s="88">
        <f t="shared" si="56"/>
        <v>30000</v>
      </c>
      <c r="G272" s="88">
        <f t="shared" si="56"/>
        <v>0</v>
      </c>
      <c r="H272" s="88">
        <f t="shared" si="56"/>
        <v>0</v>
      </c>
      <c r="I272" s="88">
        <f t="shared" si="56"/>
        <v>0</v>
      </c>
      <c r="J272" s="88">
        <f t="shared" si="56"/>
        <v>0</v>
      </c>
      <c r="K272" s="88">
        <f t="shared" si="56"/>
        <v>0</v>
      </c>
      <c r="L272" s="88">
        <f t="shared" si="56"/>
        <v>0</v>
      </c>
      <c r="M272" s="88">
        <f t="shared" si="56"/>
        <v>0</v>
      </c>
      <c r="N272" s="88">
        <f t="shared" si="56"/>
        <v>0</v>
      </c>
      <c r="O272" s="88">
        <f t="shared" si="56"/>
        <v>0</v>
      </c>
    </row>
    <row r="273" spans="1:15" ht="15.75">
      <c r="A273" s="1"/>
      <c r="B273" s="95"/>
      <c r="C273" s="95">
        <v>4130</v>
      </c>
      <c r="D273" s="60" t="s">
        <v>602</v>
      </c>
      <c r="E273" s="96">
        <f>F273</f>
        <v>30000</v>
      </c>
      <c r="F273" s="96">
        <v>30000</v>
      </c>
      <c r="G273" s="96"/>
      <c r="H273" s="96"/>
      <c r="I273" s="96"/>
      <c r="J273" s="96"/>
      <c r="K273" s="96"/>
      <c r="L273" s="96"/>
      <c r="M273" s="96"/>
      <c r="N273" s="169"/>
      <c r="O273" s="71"/>
    </row>
    <row r="274" spans="1:15" ht="31.5">
      <c r="A274" s="94"/>
      <c r="B274" s="94">
        <v>85214</v>
      </c>
      <c r="C274" s="94"/>
      <c r="D274" s="66" t="s">
        <v>603</v>
      </c>
      <c r="E274" s="88">
        <f aca="true" t="shared" si="57" ref="E274:O274">E275+E276</f>
        <v>770000</v>
      </c>
      <c r="F274" s="88">
        <f t="shared" si="57"/>
        <v>770000</v>
      </c>
      <c r="G274" s="88">
        <f t="shared" si="57"/>
        <v>0</v>
      </c>
      <c r="H274" s="88">
        <f t="shared" si="57"/>
        <v>0</v>
      </c>
      <c r="I274" s="88">
        <f t="shared" si="57"/>
        <v>0</v>
      </c>
      <c r="J274" s="88">
        <f t="shared" si="57"/>
        <v>0</v>
      </c>
      <c r="K274" s="88">
        <f t="shared" si="57"/>
        <v>500000</v>
      </c>
      <c r="L274" s="88">
        <f t="shared" si="57"/>
        <v>0</v>
      </c>
      <c r="M274" s="88">
        <f t="shared" si="57"/>
        <v>0</v>
      </c>
      <c r="N274" s="88">
        <f t="shared" si="57"/>
        <v>0</v>
      </c>
      <c r="O274" s="88">
        <f t="shared" si="57"/>
        <v>0</v>
      </c>
    </row>
    <row r="275" spans="1:15" ht="15.75">
      <c r="A275" s="94"/>
      <c r="B275" s="95"/>
      <c r="C275" s="95">
        <v>3110</v>
      </c>
      <c r="D275" s="1" t="s">
        <v>604</v>
      </c>
      <c r="E275" s="96">
        <f>F275+O275</f>
        <v>500000</v>
      </c>
      <c r="F275" s="96">
        <f>130000+'zał 2'!F103</f>
        <v>500000</v>
      </c>
      <c r="G275" s="71"/>
      <c r="H275" s="71"/>
      <c r="I275" s="71"/>
      <c r="J275" s="71"/>
      <c r="K275" s="96">
        <v>500000</v>
      </c>
      <c r="L275" s="71"/>
      <c r="M275" s="169"/>
      <c r="N275" s="169"/>
      <c r="O275" s="71"/>
    </row>
    <row r="276" spans="1:15" ht="15.75">
      <c r="A276" s="94"/>
      <c r="B276" s="95"/>
      <c r="C276" s="95">
        <v>4330</v>
      </c>
      <c r="D276" s="1" t="s">
        <v>605</v>
      </c>
      <c r="E276" s="96">
        <f>F276+O276</f>
        <v>270000</v>
      </c>
      <c r="F276" s="96">
        <v>270000</v>
      </c>
      <c r="G276" s="71"/>
      <c r="H276" s="71"/>
      <c r="I276" s="71"/>
      <c r="J276" s="71"/>
      <c r="K276" s="71"/>
      <c r="L276" s="71"/>
      <c r="M276" s="169"/>
      <c r="N276" s="169"/>
      <c r="O276" s="71"/>
    </row>
    <row r="277" spans="1:15" ht="15.75">
      <c r="A277" s="94"/>
      <c r="B277" s="94">
        <v>85215</v>
      </c>
      <c r="C277" s="94"/>
      <c r="D277" s="66" t="s">
        <v>606</v>
      </c>
      <c r="E277" s="88">
        <f aca="true" t="shared" si="58" ref="E277:O277">SUM(E278:E282)</f>
        <v>537400</v>
      </c>
      <c r="F277" s="88">
        <f t="shared" si="58"/>
        <v>537400</v>
      </c>
      <c r="G277" s="88">
        <f t="shared" si="58"/>
        <v>0</v>
      </c>
      <c r="H277" s="88">
        <f t="shared" si="58"/>
        <v>0</v>
      </c>
      <c r="I277" s="88">
        <f t="shared" si="58"/>
        <v>0</v>
      </c>
      <c r="J277" s="88">
        <f t="shared" si="58"/>
        <v>0</v>
      </c>
      <c r="K277" s="88">
        <f t="shared" si="58"/>
        <v>535600</v>
      </c>
      <c r="L277" s="88">
        <f t="shared" si="58"/>
        <v>0</v>
      </c>
      <c r="M277" s="88">
        <f t="shared" si="58"/>
        <v>0</v>
      </c>
      <c r="N277" s="88">
        <f t="shared" si="58"/>
        <v>0</v>
      </c>
      <c r="O277" s="88">
        <f t="shared" si="58"/>
        <v>0</v>
      </c>
    </row>
    <row r="278" spans="1:15" ht="15.75">
      <c r="A278" s="94"/>
      <c r="B278" s="95"/>
      <c r="C278" s="95">
        <v>3110</v>
      </c>
      <c r="D278" s="1" t="s">
        <v>607</v>
      </c>
      <c r="E278" s="96">
        <f>K278+O278</f>
        <v>535600</v>
      </c>
      <c r="F278" s="191">
        <f>K278</f>
        <v>535600</v>
      </c>
      <c r="G278" s="71"/>
      <c r="H278" s="71"/>
      <c r="I278" s="71"/>
      <c r="J278" s="71"/>
      <c r="K278" s="96">
        <v>535600</v>
      </c>
      <c r="L278" s="71"/>
      <c r="M278" s="169"/>
      <c r="N278" s="169"/>
      <c r="O278" s="71"/>
    </row>
    <row r="279" spans="1:15" ht="15.75">
      <c r="A279" s="94"/>
      <c r="B279" s="95"/>
      <c r="C279" s="95">
        <v>4300</v>
      </c>
      <c r="D279" s="1" t="s">
        <v>481</v>
      </c>
      <c r="E279" s="96">
        <f>F279+O279</f>
        <v>500</v>
      </c>
      <c r="F279" s="96">
        <v>500</v>
      </c>
      <c r="G279" s="71"/>
      <c r="H279" s="71"/>
      <c r="I279" s="71"/>
      <c r="J279" s="71"/>
      <c r="K279" s="71"/>
      <c r="L279" s="71"/>
      <c r="M279" s="169"/>
      <c r="N279" s="169"/>
      <c r="O279" s="71"/>
    </row>
    <row r="280" spans="1:15" ht="15.75">
      <c r="A280" s="94"/>
      <c r="B280" s="95"/>
      <c r="C280" s="95">
        <v>4410</v>
      </c>
      <c r="D280" s="1" t="s">
        <v>515</v>
      </c>
      <c r="E280" s="96">
        <f>F280+O280</f>
        <v>200</v>
      </c>
      <c r="F280" s="96">
        <v>200</v>
      </c>
      <c r="G280" s="71"/>
      <c r="H280" s="71"/>
      <c r="I280" s="71"/>
      <c r="J280" s="71"/>
      <c r="K280" s="71"/>
      <c r="L280" s="71"/>
      <c r="M280" s="169"/>
      <c r="N280" s="169"/>
      <c r="O280" s="71"/>
    </row>
    <row r="281" spans="1:15" ht="31.5">
      <c r="A281" s="94"/>
      <c r="B281" s="95"/>
      <c r="C281" s="95">
        <v>4700</v>
      </c>
      <c r="D281" s="60" t="s">
        <v>597</v>
      </c>
      <c r="E281" s="96">
        <f>F281+O281</f>
        <v>500</v>
      </c>
      <c r="F281" s="96">
        <v>500</v>
      </c>
      <c r="G281" s="71"/>
      <c r="H281" s="71"/>
      <c r="I281" s="71"/>
      <c r="J281" s="71"/>
      <c r="K281" s="71"/>
      <c r="L281" s="71"/>
      <c r="M281" s="169"/>
      <c r="N281" s="169"/>
      <c r="O281" s="71"/>
    </row>
    <row r="282" spans="1:15" ht="31.5">
      <c r="A282" s="95"/>
      <c r="B282" s="95"/>
      <c r="C282" s="95">
        <v>4750</v>
      </c>
      <c r="D282" s="60" t="s">
        <v>600</v>
      </c>
      <c r="E282" s="96">
        <f>F282+O282</f>
        <v>600</v>
      </c>
      <c r="F282" s="96">
        <v>600</v>
      </c>
      <c r="G282" s="71"/>
      <c r="H282" s="71"/>
      <c r="I282" s="71"/>
      <c r="J282" s="71"/>
      <c r="K282" s="71"/>
      <c r="L282" s="71"/>
      <c r="M282" s="169"/>
      <c r="N282" s="169"/>
      <c r="O282" s="71"/>
    </row>
    <row r="283" spans="1:15" s="154" customFormat="1" ht="15.75">
      <c r="A283" s="94"/>
      <c r="B283" s="94">
        <v>85216</v>
      </c>
      <c r="C283" s="94"/>
      <c r="D283" s="57" t="s">
        <v>417</v>
      </c>
      <c r="E283" s="88">
        <f aca="true" t="shared" si="59" ref="E283:O283">E284</f>
        <v>343000</v>
      </c>
      <c r="F283" s="88">
        <f t="shared" si="59"/>
        <v>343000</v>
      </c>
      <c r="G283" s="88">
        <f t="shared" si="59"/>
        <v>0</v>
      </c>
      <c r="H283" s="88">
        <f t="shared" si="59"/>
        <v>0</v>
      </c>
      <c r="I283" s="88">
        <f t="shared" si="59"/>
        <v>0</v>
      </c>
      <c r="J283" s="88">
        <f t="shared" si="59"/>
        <v>0</v>
      </c>
      <c r="K283" s="88">
        <f t="shared" si="59"/>
        <v>343000</v>
      </c>
      <c r="L283" s="88">
        <f t="shared" si="59"/>
        <v>0</v>
      </c>
      <c r="M283" s="88">
        <f t="shared" si="59"/>
        <v>0</v>
      </c>
      <c r="N283" s="88">
        <f t="shared" si="59"/>
        <v>0</v>
      </c>
      <c r="O283" s="88">
        <f t="shared" si="59"/>
        <v>0</v>
      </c>
    </row>
    <row r="284" spans="1:15" ht="15.75">
      <c r="A284" s="95"/>
      <c r="B284" s="95"/>
      <c r="C284" s="95">
        <v>3110</v>
      </c>
      <c r="D284" s="1" t="s">
        <v>607</v>
      </c>
      <c r="E284" s="96">
        <f>F284+O284</f>
        <v>343000</v>
      </c>
      <c r="F284" s="96">
        <f>K284</f>
        <v>343000</v>
      </c>
      <c r="G284" s="71"/>
      <c r="H284" s="71"/>
      <c r="I284" s="71"/>
      <c r="J284" s="71"/>
      <c r="K284" s="71">
        <v>343000</v>
      </c>
      <c r="L284" s="71"/>
      <c r="M284" s="169"/>
      <c r="N284" s="169"/>
      <c r="O284" s="71"/>
    </row>
    <row r="285" spans="1:15" ht="15.75">
      <c r="A285" s="94"/>
      <c r="B285" s="94">
        <v>85219</v>
      </c>
      <c r="C285" s="94"/>
      <c r="D285" s="66" t="s">
        <v>608</v>
      </c>
      <c r="E285" s="88">
        <f aca="true" t="shared" si="60" ref="E285:O285">SUM(E286:E305)</f>
        <v>1032202.12</v>
      </c>
      <c r="F285" s="88">
        <f t="shared" si="60"/>
        <v>1032202.12</v>
      </c>
      <c r="G285" s="88">
        <f t="shared" si="60"/>
        <v>749900</v>
      </c>
      <c r="H285" s="88">
        <f t="shared" si="60"/>
        <v>131952.12</v>
      </c>
      <c r="I285" s="88">
        <f t="shared" si="60"/>
        <v>150350</v>
      </c>
      <c r="J285" s="88">
        <f t="shared" si="60"/>
        <v>0</v>
      </c>
      <c r="K285" s="88">
        <f t="shared" si="60"/>
        <v>0</v>
      </c>
      <c r="L285" s="88">
        <f t="shared" si="60"/>
        <v>0</v>
      </c>
      <c r="M285" s="88">
        <f t="shared" si="60"/>
        <v>0</v>
      </c>
      <c r="N285" s="88">
        <f t="shared" si="60"/>
        <v>0</v>
      </c>
      <c r="O285" s="88">
        <f t="shared" si="60"/>
        <v>0</v>
      </c>
    </row>
    <row r="286" spans="1:15" ht="15.75">
      <c r="A286" s="95"/>
      <c r="B286" s="95"/>
      <c r="C286" s="95">
        <v>4010</v>
      </c>
      <c r="D286" s="60" t="s">
        <v>545</v>
      </c>
      <c r="E286" s="96">
        <f aca="true" t="shared" si="61" ref="E286:E305">F286+O286</f>
        <v>685200</v>
      </c>
      <c r="F286" s="71">
        <f>SUM(G286:N286)</f>
        <v>685200</v>
      </c>
      <c r="G286" s="96">
        <v>685200</v>
      </c>
      <c r="H286" s="71"/>
      <c r="I286" s="71"/>
      <c r="J286" s="71"/>
      <c r="K286" s="71"/>
      <c r="L286" s="71"/>
      <c r="M286" s="169"/>
      <c r="N286" s="169"/>
      <c r="O286" s="71"/>
    </row>
    <row r="287" spans="1:15" ht="15.75">
      <c r="A287" s="95"/>
      <c r="B287" s="95"/>
      <c r="C287" s="95">
        <v>4040</v>
      </c>
      <c r="D287" s="60" t="s">
        <v>501</v>
      </c>
      <c r="E287" s="96">
        <f t="shared" si="61"/>
        <v>49500</v>
      </c>
      <c r="F287" s="71">
        <f>SUM(G287:N287)</f>
        <v>49500</v>
      </c>
      <c r="G287" s="96">
        <v>49500</v>
      </c>
      <c r="H287" s="71"/>
      <c r="I287" s="71"/>
      <c r="J287" s="71"/>
      <c r="K287" s="71"/>
      <c r="L287" s="71"/>
      <c r="M287" s="169"/>
      <c r="N287" s="169"/>
      <c r="O287" s="71"/>
    </row>
    <row r="288" spans="1:15" ht="15.75">
      <c r="A288" s="95"/>
      <c r="B288" s="95"/>
      <c r="C288" s="95">
        <v>4110</v>
      </c>
      <c r="D288" s="60" t="s">
        <v>502</v>
      </c>
      <c r="E288" s="96">
        <f t="shared" si="61"/>
        <v>113951.97</v>
      </c>
      <c r="F288" s="71">
        <f>SUM(G288:N288)</f>
        <v>113951.97</v>
      </c>
      <c r="G288" s="71"/>
      <c r="H288" s="96">
        <f>G286*0.1551+G287*0.1551</f>
        <v>113951.97</v>
      </c>
      <c r="I288" s="96"/>
      <c r="J288" s="71"/>
      <c r="K288" s="71"/>
      <c r="L288" s="71"/>
      <c r="M288" s="169"/>
      <c r="N288" s="169"/>
      <c r="O288" s="71"/>
    </row>
    <row r="289" spans="1:15" ht="15.75">
      <c r="A289" s="95"/>
      <c r="B289" s="95"/>
      <c r="C289" s="95">
        <v>4120</v>
      </c>
      <c r="D289" s="60" t="s">
        <v>503</v>
      </c>
      <c r="E289" s="96">
        <f t="shared" si="61"/>
        <v>18000.15</v>
      </c>
      <c r="F289" s="71">
        <f>SUM(G289:N289)</f>
        <v>18000.15</v>
      </c>
      <c r="G289" s="71"/>
      <c r="H289" s="96">
        <f>(G286+G287)*0.0245</f>
        <v>18000.15</v>
      </c>
      <c r="I289" s="96"/>
      <c r="J289" s="71"/>
      <c r="K289" s="71"/>
      <c r="L289" s="71"/>
      <c r="M289" s="169"/>
      <c r="N289" s="169"/>
      <c r="O289" s="71"/>
    </row>
    <row r="290" spans="1:15" ht="15.75">
      <c r="A290" s="95"/>
      <c r="B290" s="95"/>
      <c r="C290" s="95">
        <v>4170</v>
      </c>
      <c r="D290" s="60" t="s">
        <v>609</v>
      </c>
      <c r="E290" s="96">
        <f t="shared" si="61"/>
        <v>15200</v>
      </c>
      <c r="F290" s="71">
        <f>SUM(G290:N290)</f>
        <v>15200</v>
      </c>
      <c r="G290" s="96">
        <v>15200</v>
      </c>
      <c r="H290" s="71"/>
      <c r="I290" s="71"/>
      <c r="J290" s="71"/>
      <c r="K290" s="71"/>
      <c r="L290" s="71"/>
      <c r="M290" s="169"/>
      <c r="N290" s="169"/>
      <c r="O290" s="71"/>
    </row>
    <row r="291" spans="1:15" ht="15.75">
      <c r="A291" s="95"/>
      <c r="B291" s="95"/>
      <c r="C291" s="95">
        <v>4210</v>
      </c>
      <c r="D291" s="60" t="s">
        <v>555</v>
      </c>
      <c r="E291" s="96">
        <f t="shared" si="61"/>
        <v>44300</v>
      </c>
      <c r="F291" s="96">
        <f aca="true" t="shared" si="62" ref="F291:F305">I291</f>
        <v>44300</v>
      </c>
      <c r="G291" s="71"/>
      <c r="H291" s="71"/>
      <c r="I291" s="96">
        <v>44300</v>
      </c>
      <c r="J291" s="71"/>
      <c r="K291" s="71"/>
      <c r="L291" s="71"/>
      <c r="M291" s="169"/>
      <c r="N291" s="169"/>
      <c r="O291" s="71"/>
    </row>
    <row r="292" spans="1:15" ht="15.75">
      <c r="A292" s="95"/>
      <c r="B292" s="95"/>
      <c r="C292" s="95">
        <v>4260</v>
      </c>
      <c r="D292" s="60" t="s">
        <v>547</v>
      </c>
      <c r="E292" s="96">
        <f t="shared" si="61"/>
        <v>20800</v>
      </c>
      <c r="F292" s="96">
        <f t="shared" si="62"/>
        <v>20800</v>
      </c>
      <c r="G292" s="71"/>
      <c r="H292" s="71"/>
      <c r="I292" s="96">
        <v>20800</v>
      </c>
      <c r="J292" s="71"/>
      <c r="K292" s="71"/>
      <c r="L292" s="71"/>
      <c r="M292" s="169"/>
      <c r="N292" s="169"/>
      <c r="O292" s="71"/>
    </row>
    <row r="293" spans="1:15" ht="15.75">
      <c r="A293" s="95"/>
      <c r="B293" s="95"/>
      <c r="C293" s="95">
        <v>4270</v>
      </c>
      <c r="D293" s="60" t="s">
        <v>489</v>
      </c>
      <c r="E293" s="96">
        <f t="shared" si="61"/>
        <v>8000</v>
      </c>
      <c r="F293" s="96">
        <f t="shared" si="62"/>
        <v>8000</v>
      </c>
      <c r="G293" s="71"/>
      <c r="H293" s="71"/>
      <c r="I293" s="96">
        <v>8000</v>
      </c>
      <c r="J293" s="71"/>
      <c r="K293" s="71"/>
      <c r="L293" s="71"/>
      <c r="M293" s="169"/>
      <c r="N293" s="169"/>
      <c r="O293" s="71"/>
    </row>
    <row r="294" spans="1:15" ht="15.75">
      <c r="A294" s="95"/>
      <c r="B294" s="95"/>
      <c r="C294" s="95">
        <v>4280</v>
      </c>
      <c r="D294" s="109" t="s">
        <v>548</v>
      </c>
      <c r="E294" s="96">
        <f t="shared" si="61"/>
        <v>500</v>
      </c>
      <c r="F294" s="96">
        <f t="shared" si="62"/>
        <v>500</v>
      </c>
      <c r="G294" s="71"/>
      <c r="H294" s="71"/>
      <c r="I294" s="96">
        <v>500</v>
      </c>
      <c r="J294" s="71"/>
      <c r="K294" s="71"/>
      <c r="L294" s="71"/>
      <c r="M294" s="169"/>
      <c r="N294" s="169"/>
      <c r="O294" s="71"/>
    </row>
    <row r="295" spans="1:15" ht="15.75">
      <c r="A295" s="95"/>
      <c r="B295" s="95"/>
      <c r="C295" s="95">
        <v>4300</v>
      </c>
      <c r="D295" s="60" t="s">
        <v>481</v>
      </c>
      <c r="E295" s="96">
        <f t="shared" si="61"/>
        <v>34050</v>
      </c>
      <c r="F295" s="96">
        <f t="shared" si="62"/>
        <v>34050</v>
      </c>
      <c r="G295" s="71"/>
      <c r="H295" s="71"/>
      <c r="I295" s="96">
        <f>37000-230-240-180-2300</f>
        <v>34050</v>
      </c>
      <c r="J295" s="71"/>
      <c r="K295" s="71"/>
      <c r="L295" s="71"/>
      <c r="M295" s="169"/>
      <c r="N295" s="169"/>
      <c r="O295" s="71"/>
    </row>
    <row r="296" spans="1:15" ht="15.75">
      <c r="A296" s="95"/>
      <c r="B296" s="95"/>
      <c r="C296" s="95">
        <v>4350</v>
      </c>
      <c r="D296" s="60" t="s">
        <v>510</v>
      </c>
      <c r="E296" s="96">
        <f t="shared" si="61"/>
        <v>1800</v>
      </c>
      <c r="F296" s="96">
        <f t="shared" si="62"/>
        <v>1800</v>
      </c>
      <c r="G296" s="71"/>
      <c r="H296" s="71"/>
      <c r="I296" s="96">
        <v>1800</v>
      </c>
      <c r="J296" s="71"/>
      <c r="K296" s="71"/>
      <c r="L296" s="71"/>
      <c r="M296" s="169"/>
      <c r="N296" s="169"/>
      <c r="O296" s="71"/>
    </row>
    <row r="297" spans="1:15" ht="31.5">
      <c r="A297" s="95"/>
      <c r="B297" s="95"/>
      <c r="C297" s="95">
        <v>4360</v>
      </c>
      <c r="D297" s="60" t="s">
        <v>610</v>
      </c>
      <c r="E297" s="96">
        <f t="shared" si="61"/>
        <v>1600</v>
      </c>
      <c r="F297" s="96">
        <f t="shared" si="62"/>
        <v>1600</v>
      </c>
      <c r="G297" s="71"/>
      <c r="H297" s="71"/>
      <c r="I297" s="96">
        <v>1600</v>
      </c>
      <c r="J297" s="71"/>
      <c r="K297" s="71"/>
      <c r="L297" s="71"/>
      <c r="M297" s="169"/>
      <c r="N297" s="169"/>
      <c r="O297" s="71"/>
    </row>
    <row r="298" spans="1:15" ht="31.5">
      <c r="A298" s="95"/>
      <c r="B298" s="95"/>
      <c r="C298" s="95">
        <v>4370</v>
      </c>
      <c r="D298" s="60" t="s">
        <v>512</v>
      </c>
      <c r="E298" s="96">
        <f t="shared" si="61"/>
        <v>2000</v>
      </c>
      <c r="F298" s="96">
        <f t="shared" si="62"/>
        <v>2000</v>
      </c>
      <c r="G298" s="71"/>
      <c r="H298" s="71"/>
      <c r="I298" s="96">
        <v>2000</v>
      </c>
      <c r="J298" s="71"/>
      <c r="K298" s="71"/>
      <c r="L298" s="71"/>
      <c r="M298" s="169"/>
      <c r="N298" s="169"/>
      <c r="O298" s="71"/>
    </row>
    <row r="299" spans="1:15" ht="15.75">
      <c r="A299" s="95"/>
      <c r="B299" s="95"/>
      <c r="C299" s="95">
        <v>4410</v>
      </c>
      <c r="D299" s="60" t="s">
        <v>572</v>
      </c>
      <c r="E299" s="96">
        <f t="shared" si="61"/>
        <v>5000</v>
      </c>
      <c r="F299" s="96">
        <f t="shared" si="62"/>
        <v>5000</v>
      </c>
      <c r="G299" s="71"/>
      <c r="H299" s="71"/>
      <c r="I299" s="96">
        <v>5000</v>
      </c>
      <c r="J299" s="71"/>
      <c r="K299" s="71"/>
      <c r="L299" s="71"/>
      <c r="M299" s="169"/>
      <c r="N299" s="169"/>
      <c r="O299" s="71"/>
    </row>
    <row r="300" spans="1:15" ht="15.75">
      <c r="A300" s="95"/>
      <c r="B300" s="95"/>
      <c r="C300" s="95">
        <v>4420</v>
      </c>
      <c r="D300" s="60" t="s">
        <v>611</v>
      </c>
      <c r="E300" s="96">
        <f t="shared" si="61"/>
        <v>1300</v>
      </c>
      <c r="F300" s="96">
        <f t="shared" si="62"/>
        <v>1300</v>
      </c>
      <c r="G300" s="71"/>
      <c r="H300" s="71"/>
      <c r="I300" s="96">
        <v>1300</v>
      </c>
      <c r="J300" s="71"/>
      <c r="K300" s="71"/>
      <c r="L300" s="71"/>
      <c r="M300" s="169"/>
      <c r="N300" s="169"/>
      <c r="O300" s="71"/>
    </row>
    <row r="301" spans="1:15" ht="15.75">
      <c r="A301" s="95"/>
      <c r="B301" s="95"/>
      <c r="C301" s="95">
        <v>4430</v>
      </c>
      <c r="D301" s="60" t="s">
        <v>491</v>
      </c>
      <c r="E301" s="96">
        <f t="shared" si="61"/>
        <v>5000</v>
      </c>
      <c r="F301" s="96">
        <f t="shared" si="62"/>
        <v>5000</v>
      </c>
      <c r="G301" s="71"/>
      <c r="H301" s="71"/>
      <c r="I301" s="96">
        <v>5000</v>
      </c>
      <c r="J301" s="71"/>
      <c r="K301" s="71"/>
      <c r="L301" s="71"/>
      <c r="M301" s="169"/>
      <c r="N301" s="169"/>
      <c r="O301" s="71"/>
    </row>
    <row r="302" spans="1:15" ht="31.5">
      <c r="A302" s="95"/>
      <c r="B302" s="95"/>
      <c r="C302" s="95">
        <v>4440</v>
      </c>
      <c r="D302" s="60" t="s">
        <v>517</v>
      </c>
      <c r="E302" s="96">
        <f t="shared" si="61"/>
        <v>21000</v>
      </c>
      <c r="F302" s="96">
        <f t="shared" si="62"/>
        <v>21000</v>
      </c>
      <c r="G302" s="71"/>
      <c r="H302" s="71"/>
      <c r="I302" s="96">
        <f>21000</f>
        <v>21000</v>
      </c>
      <c r="J302" s="71"/>
      <c r="K302" s="71"/>
      <c r="L302" s="71"/>
      <c r="M302" s="169"/>
      <c r="N302" s="169"/>
      <c r="O302" s="71"/>
    </row>
    <row r="303" spans="1:15" ht="31.5">
      <c r="A303" s="95"/>
      <c r="B303" s="95"/>
      <c r="C303" s="95">
        <v>4700</v>
      </c>
      <c r="D303" s="60" t="s">
        <v>597</v>
      </c>
      <c r="E303" s="96">
        <f t="shared" si="61"/>
        <v>2000</v>
      </c>
      <c r="F303" s="96">
        <f t="shared" si="62"/>
        <v>2000</v>
      </c>
      <c r="G303" s="71"/>
      <c r="H303" s="71"/>
      <c r="I303" s="96">
        <v>2000</v>
      </c>
      <c r="J303" s="71"/>
      <c r="K303" s="71"/>
      <c r="L303" s="71"/>
      <c r="M303" s="169"/>
      <c r="N303" s="169"/>
      <c r="O303" s="71"/>
    </row>
    <row r="304" spans="1:15" ht="31.5">
      <c r="A304" s="95"/>
      <c r="B304" s="95"/>
      <c r="C304" s="95">
        <v>4740</v>
      </c>
      <c r="D304" s="60" t="s">
        <v>599</v>
      </c>
      <c r="E304" s="96">
        <f t="shared" si="61"/>
        <v>2000</v>
      </c>
      <c r="F304" s="96">
        <f t="shared" si="62"/>
        <v>2000</v>
      </c>
      <c r="G304" s="71"/>
      <c r="H304" s="71"/>
      <c r="I304" s="96">
        <v>2000</v>
      </c>
      <c r="J304" s="71"/>
      <c r="K304" s="71"/>
      <c r="L304" s="71"/>
      <c r="M304" s="169"/>
      <c r="N304" s="169"/>
      <c r="O304" s="71"/>
    </row>
    <row r="305" spans="1:15" ht="31.5">
      <c r="A305" s="95"/>
      <c r="B305" s="95"/>
      <c r="C305" s="95">
        <v>4750</v>
      </c>
      <c r="D305" s="60" t="s">
        <v>600</v>
      </c>
      <c r="E305" s="96">
        <f t="shared" si="61"/>
        <v>1000</v>
      </c>
      <c r="F305" s="96">
        <f t="shared" si="62"/>
        <v>1000</v>
      </c>
      <c r="G305" s="71"/>
      <c r="H305" s="71"/>
      <c r="I305" s="96">
        <v>1000</v>
      </c>
      <c r="J305" s="71"/>
      <c r="K305" s="71"/>
      <c r="L305" s="71"/>
      <c r="M305" s="169"/>
      <c r="N305" s="169"/>
      <c r="O305" s="71"/>
    </row>
    <row r="306" spans="1:15" ht="31.5">
      <c r="A306" s="94"/>
      <c r="B306" s="94">
        <v>85228</v>
      </c>
      <c r="C306" s="94"/>
      <c r="D306" s="167" t="s">
        <v>422</v>
      </c>
      <c r="E306" s="88">
        <f aca="true" t="shared" si="63" ref="E306:O306">SUM(E307:E317)</f>
        <v>280743.748</v>
      </c>
      <c r="F306" s="88">
        <f t="shared" si="63"/>
        <v>280743.748</v>
      </c>
      <c r="G306" s="88">
        <f t="shared" si="63"/>
        <v>228528.6</v>
      </c>
      <c r="H306" s="88">
        <f t="shared" si="63"/>
        <v>38165.148</v>
      </c>
      <c r="I306" s="88">
        <f t="shared" si="63"/>
        <v>0</v>
      </c>
      <c r="J306" s="88">
        <f t="shared" si="63"/>
        <v>0</v>
      </c>
      <c r="K306" s="88">
        <f t="shared" si="63"/>
        <v>0</v>
      </c>
      <c r="L306" s="88">
        <f t="shared" si="63"/>
        <v>0</v>
      </c>
      <c r="M306" s="88">
        <f t="shared" si="63"/>
        <v>0</v>
      </c>
      <c r="N306" s="88">
        <f t="shared" si="63"/>
        <v>0</v>
      </c>
      <c r="O306" s="88">
        <f t="shared" si="63"/>
        <v>0</v>
      </c>
    </row>
    <row r="307" spans="1:15" ht="15.75">
      <c r="A307" s="95"/>
      <c r="B307" s="95"/>
      <c r="C307" s="95">
        <v>4010</v>
      </c>
      <c r="D307" s="109" t="s">
        <v>500</v>
      </c>
      <c r="E307" s="96">
        <f aca="true" t="shared" si="64" ref="E307:E317">F307+O307</f>
        <v>198942</v>
      </c>
      <c r="F307" s="71">
        <f>SUM(G307:N307)</f>
        <v>198942</v>
      </c>
      <c r="G307" s="96">
        <v>198942</v>
      </c>
      <c r="H307" s="71"/>
      <c r="I307" s="71"/>
      <c r="J307" s="71"/>
      <c r="K307" s="71"/>
      <c r="L307" s="71"/>
      <c r="M307" s="169"/>
      <c r="N307" s="169"/>
      <c r="O307" s="71"/>
    </row>
    <row r="308" spans="1:15" ht="15.75">
      <c r="A308" s="95"/>
      <c r="B308" s="95"/>
      <c r="C308" s="95">
        <v>4040</v>
      </c>
      <c r="D308" s="109" t="s">
        <v>501</v>
      </c>
      <c r="E308" s="96">
        <f t="shared" si="64"/>
        <v>13086.6</v>
      </c>
      <c r="F308" s="71">
        <f>SUM(G308:N308)</f>
        <v>13086.6</v>
      </c>
      <c r="G308" s="96">
        <f>153960*0.085</f>
        <v>13086.6</v>
      </c>
      <c r="H308" s="71"/>
      <c r="I308" s="71"/>
      <c r="J308" s="71"/>
      <c r="K308" s="71"/>
      <c r="L308" s="71"/>
      <c r="M308" s="169"/>
      <c r="N308" s="169"/>
      <c r="O308" s="71"/>
    </row>
    <row r="309" spans="1:15" ht="15.75">
      <c r="A309" s="95"/>
      <c r="B309" s="95"/>
      <c r="C309" s="95">
        <v>4110</v>
      </c>
      <c r="D309" s="109" t="s">
        <v>502</v>
      </c>
      <c r="E309" s="96">
        <f t="shared" si="64"/>
        <v>32864.433</v>
      </c>
      <c r="F309" s="71">
        <f>SUM(G309:N309)</f>
        <v>32864.433</v>
      </c>
      <c r="G309" s="71"/>
      <c r="H309" s="96">
        <f>G307*0.155+G308*0.155</f>
        <v>32864.433</v>
      </c>
      <c r="I309" s="96"/>
      <c r="J309" s="71"/>
      <c r="K309" s="71"/>
      <c r="L309" s="71"/>
      <c r="M309" s="169"/>
      <c r="N309" s="169"/>
      <c r="O309" s="71"/>
    </row>
    <row r="310" spans="1:15" ht="15.75">
      <c r="A310" s="95"/>
      <c r="B310" s="95"/>
      <c r="C310" s="95">
        <v>4120</v>
      </c>
      <c r="D310" s="109" t="s">
        <v>503</v>
      </c>
      <c r="E310" s="96">
        <f t="shared" si="64"/>
        <v>5300.715</v>
      </c>
      <c r="F310" s="71">
        <f>SUM(G310:N310)</f>
        <v>5300.715</v>
      </c>
      <c r="G310" s="71"/>
      <c r="H310" s="96">
        <f>G307*0.025+G308*0.025</f>
        <v>5300.715</v>
      </c>
      <c r="I310" s="96"/>
      <c r="J310" s="71"/>
      <c r="K310" s="71"/>
      <c r="L310" s="71"/>
      <c r="M310" s="169"/>
      <c r="N310" s="169"/>
      <c r="O310" s="71"/>
    </row>
    <row r="311" spans="1:15" ht="15.75">
      <c r="A311" s="95"/>
      <c r="B311" s="95"/>
      <c r="C311" s="95">
        <v>4170</v>
      </c>
      <c r="D311" s="109" t="s">
        <v>505</v>
      </c>
      <c r="E311" s="96">
        <f t="shared" si="64"/>
        <v>16500</v>
      </c>
      <c r="F311" s="71">
        <f>SUM(G311:N311)</f>
        <v>16500</v>
      </c>
      <c r="G311" s="96">
        <v>16500</v>
      </c>
      <c r="H311" s="71"/>
      <c r="I311" s="71"/>
      <c r="J311" s="71"/>
      <c r="K311" s="71"/>
      <c r="L311" s="71"/>
      <c r="M311" s="169"/>
      <c r="N311" s="169"/>
      <c r="O311" s="71"/>
    </row>
    <row r="312" spans="1:15" ht="15.75">
      <c r="A312" s="95"/>
      <c r="B312" s="95"/>
      <c r="C312" s="95">
        <v>4210</v>
      </c>
      <c r="D312" s="109" t="s">
        <v>485</v>
      </c>
      <c r="E312" s="96">
        <f t="shared" si="64"/>
        <v>600</v>
      </c>
      <c r="F312" s="96">
        <v>600</v>
      </c>
      <c r="G312" s="71"/>
      <c r="H312" s="71"/>
      <c r="I312" s="71"/>
      <c r="J312" s="71"/>
      <c r="K312" s="71"/>
      <c r="L312" s="71"/>
      <c r="M312" s="169"/>
      <c r="N312" s="169"/>
      <c r="O312" s="71"/>
    </row>
    <row r="313" spans="1:15" ht="15.75">
      <c r="A313" s="95"/>
      <c r="B313" s="95"/>
      <c r="C313" s="95">
        <v>4280</v>
      </c>
      <c r="D313" s="109" t="s">
        <v>548</v>
      </c>
      <c r="E313" s="96">
        <f t="shared" si="64"/>
        <v>600</v>
      </c>
      <c r="F313" s="96">
        <v>600</v>
      </c>
      <c r="G313" s="71"/>
      <c r="H313" s="71"/>
      <c r="I313" s="71"/>
      <c r="J313" s="71"/>
      <c r="K313" s="71"/>
      <c r="L313" s="71"/>
      <c r="M313" s="169"/>
      <c r="N313" s="169"/>
      <c r="O313" s="71"/>
    </row>
    <row r="314" spans="1:15" ht="15.75">
      <c r="A314" s="95"/>
      <c r="B314" s="95"/>
      <c r="C314" s="95">
        <v>4300</v>
      </c>
      <c r="D314" s="109" t="s">
        <v>569</v>
      </c>
      <c r="E314" s="96">
        <f t="shared" si="64"/>
        <v>850</v>
      </c>
      <c r="F314" s="96">
        <v>850</v>
      </c>
      <c r="G314" s="71"/>
      <c r="H314" s="71"/>
      <c r="I314" s="71"/>
      <c r="J314" s="71"/>
      <c r="K314" s="71"/>
      <c r="L314" s="71"/>
      <c r="M314" s="169"/>
      <c r="N314" s="169"/>
      <c r="O314" s="71"/>
    </row>
    <row r="315" spans="1:15" ht="31.5">
      <c r="A315" s="95"/>
      <c r="B315" s="95"/>
      <c r="C315" s="95">
        <v>4360</v>
      </c>
      <c r="D315" s="60" t="s">
        <v>610</v>
      </c>
      <c r="E315" s="96">
        <f t="shared" si="64"/>
        <v>1700</v>
      </c>
      <c r="F315" s="96">
        <v>1700</v>
      </c>
      <c r="G315" s="71"/>
      <c r="H315" s="71"/>
      <c r="I315" s="71"/>
      <c r="J315" s="71"/>
      <c r="K315" s="71"/>
      <c r="L315" s="71"/>
      <c r="M315" s="169"/>
      <c r="N315" s="169"/>
      <c r="O315" s="71"/>
    </row>
    <row r="316" spans="1:15" ht="15.75">
      <c r="A316" s="95"/>
      <c r="B316" s="95"/>
      <c r="C316" s="95">
        <v>4410</v>
      </c>
      <c r="D316" s="109" t="s">
        <v>515</v>
      </c>
      <c r="E316" s="96">
        <f t="shared" si="64"/>
        <v>300</v>
      </c>
      <c r="F316" s="96">
        <v>300</v>
      </c>
      <c r="G316" s="71"/>
      <c r="H316" s="71"/>
      <c r="I316" s="71"/>
      <c r="J316" s="71"/>
      <c r="K316" s="71"/>
      <c r="L316" s="71"/>
      <c r="M316" s="169"/>
      <c r="N316" s="169"/>
      <c r="O316" s="71"/>
    </row>
    <row r="317" spans="1:15" ht="31.5">
      <c r="A317" s="95"/>
      <c r="B317" s="95"/>
      <c r="C317" s="95">
        <v>4440</v>
      </c>
      <c r="D317" s="60" t="s">
        <v>517</v>
      </c>
      <c r="E317" s="96">
        <f t="shared" si="64"/>
        <v>10000</v>
      </c>
      <c r="F317" s="96">
        <v>10000</v>
      </c>
      <c r="G317" s="71"/>
      <c r="H317" s="71"/>
      <c r="I317" s="71"/>
      <c r="J317" s="71"/>
      <c r="K317" s="71"/>
      <c r="L317" s="71"/>
      <c r="M317" s="169"/>
      <c r="N317" s="169"/>
      <c r="O317" s="71"/>
    </row>
    <row r="318" spans="1:15" ht="15.75">
      <c r="A318" s="94"/>
      <c r="B318" s="94">
        <v>85295</v>
      </c>
      <c r="C318" s="94"/>
      <c r="D318" s="167" t="s">
        <v>306</v>
      </c>
      <c r="E318" s="88">
        <f aca="true" t="shared" si="65" ref="E318:O318">SUM(E319:E322)</f>
        <v>313000</v>
      </c>
      <c r="F318" s="88">
        <f t="shared" si="65"/>
        <v>313000</v>
      </c>
      <c r="G318" s="88">
        <f t="shared" si="65"/>
        <v>0</v>
      </c>
      <c r="H318" s="88">
        <f t="shared" si="65"/>
        <v>0</v>
      </c>
      <c r="I318" s="88">
        <f t="shared" si="65"/>
        <v>0</v>
      </c>
      <c r="J318" s="88">
        <f t="shared" si="65"/>
        <v>12600</v>
      </c>
      <c r="K318" s="88">
        <f t="shared" si="65"/>
        <v>286400</v>
      </c>
      <c r="L318" s="88">
        <f t="shared" si="65"/>
        <v>0</v>
      </c>
      <c r="M318" s="88">
        <f t="shared" si="65"/>
        <v>0</v>
      </c>
      <c r="N318" s="88">
        <f t="shared" si="65"/>
        <v>0</v>
      </c>
      <c r="O318" s="88">
        <f t="shared" si="65"/>
        <v>0</v>
      </c>
    </row>
    <row r="319" spans="1:15" ht="47.25">
      <c r="A319" s="94"/>
      <c r="B319" s="94"/>
      <c r="C319" s="95">
        <v>2820</v>
      </c>
      <c r="D319" s="1" t="s">
        <v>612</v>
      </c>
      <c r="E319" s="96">
        <f>F319+O319</f>
        <v>12600</v>
      </c>
      <c r="F319" s="96">
        <f>J319</f>
        <v>12600</v>
      </c>
      <c r="G319" s="88"/>
      <c r="H319" s="88"/>
      <c r="I319" s="88"/>
      <c r="J319" s="96">
        <f>'zał 27'!E18</f>
        <v>12600</v>
      </c>
      <c r="K319" s="88"/>
      <c r="L319" s="88"/>
      <c r="M319" s="88"/>
      <c r="N319" s="88"/>
      <c r="O319" s="88"/>
    </row>
    <row r="320" spans="1:15" ht="15.75">
      <c r="A320" s="95"/>
      <c r="B320" s="95"/>
      <c r="C320" s="95">
        <v>3110</v>
      </c>
      <c r="D320" s="109" t="s">
        <v>604</v>
      </c>
      <c r="E320" s="96">
        <f>F320+O320</f>
        <v>286400</v>
      </c>
      <c r="F320" s="96">
        <f>K320</f>
        <v>286400</v>
      </c>
      <c r="G320" s="71"/>
      <c r="H320" s="71"/>
      <c r="I320" s="71"/>
      <c r="J320" s="71"/>
      <c r="K320" s="96">
        <f>634400-348000</f>
        <v>286400</v>
      </c>
      <c r="L320" s="71"/>
      <c r="M320" s="169"/>
      <c r="N320" s="169"/>
      <c r="O320" s="71"/>
    </row>
    <row r="321" spans="1:15" ht="15.75">
      <c r="A321" s="95"/>
      <c r="B321" s="95"/>
      <c r="C321" s="95">
        <v>4210</v>
      </c>
      <c r="D321" s="109" t="s">
        <v>485</v>
      </c>
      <c r="E321" s="96">
        <f>F321+O321</f>
        <v>0</v>
      </c>
      <c r="F321" s="96"/>
      <c r="G321" s="71"/>
      <c r="H321" s="71"/>
      <c r="I321" s="71"/>
      <c r="J321" s="71"/>
      <c r="K321" s="71"/>
      <c r="L321" s="71"/>
      <c r="M321" s="169"/>
      <c r="N321" s="169"/>
      <c r="O321" s="71"/>
    </row>
    <row r="322" spans="1:15" ht="15.75">
      <c r="A322" s="95"/>
      <c r="B322" s="95"/>
      <c r="C322" s="95">
        <v>4300</v>
      </c>
      <c r="D322" s="109" t="s">
        <v>481</v>
      </c>
      <c r="E322" s="96">
        <f>F322+O322</f>
        <v>14000</v>
      </c>
      <c r="F322" s="96">
        <v>14000</v>
      </c>
      <c r="G322" s="71"/>
      <c r="H322" s="71"/>
      <c r="I322" s="71"/>
      <c r="J322" s="71"/>
      <c r="K322" s="71"/>
      <c r="L322" s="71"/>
      <c r="M322" s="169"/>
      <c r="N322" s="169"/>
      <c r="O322" s="71"/>
    </row>
    <row r="323" spans="1:15" ht="15.75">
      <c r="A323" s="64">
        <v>854</v>
      </c>
      <c r="B323" s="64"/>
      <c r="C323" s="64"/>
      <c r="D323" s="64" t="s">
        <v>613</v>
      </c>
      <c r="E323" s="93">
        <f aca="true" t="shared" si="66" ref="E323:O323">E324</f>
        <v>1000</v>
      </c>
      <c r="F323" s="93">
        <f t="shared" si="66"/>
        <v>1000</v>
      </c>
      <c r="G323" s="93">
        <f t="shared" si="66"/>
        <v>0</v>
      </c>
      <c r="H323" s="93">
        <f t="shared" si="66"/>
        <v>0</v>
      </c>
      <c r="I323" s="93">
        <f t="shared" si="66"/>
        <v>0</v>
      </c>
      <c r="J323" s="93">
        <f t="shared" si="66"/>
        <v>0</v>
      </c>
      <c r="K323" s="93">
        <f t="shared" si="66"/>
        <v>0</v>
      </c>
      <c r="L323" s="93">
        <f t="shared" si="66"/>
        <v>0</v>
      </c>
      <c r="M323" s="93">
        <f t="shared" si="66"/>
        <v>0</v>
      </c>
      <c r="N323" s="93">
        <f t="shared" si="66"/>
        <v>0</v>
      </c>
      <c r="O323" s="93">
        <f t="shared" si="66"/>
        <v>0</v>
      </c>
    </row>
    <row r="324" spans="1:15" ht="15.75">
      <c r="A324" s="94"/>
      <c r="B324" s="94">
        <v>85415</v>
      </c>
      <c r="C324" s="94"/>
      <c r="D324" s="66" t="s">
        <v>614</v>
      </c>
      <c r="E324" s="88">
        <f aca="true" t="shared" si="67" ref="E324:O324">E325+E326</f>
        <v>1000</v>
      </c>
      <c r="F324" s="88">
        <f t="shared" si="67"/>
        <v>1000</v>
      </c>
      <c r="G324" s="88">
        <f t="shared" si="67"/>
        <v>0</v>
      </c>
      <c r="H324" s="88">
        <f t="shared" si="67"/>
        <v>0</v>
      </c>
      <c r="I324" s="88">
        <f t="shared" si="67"/>
        <v>0</v>
      </c>
      <c r="J324" s="88">
        <f t="shared" si="67"/>
        <v>0</v>
      </c>
      <c r="K324" s="88">
        <f t="shared" si="67"/>
        <v>0</v>
      </c>
      <c r="L324" s="88">
        <f t="shared" si="67"/>
        <v>0</v>
      </c>
      <c r="M324" s="88">
        <f t="shared" si="67"/>
        <v>0</v>
      </c>
      <c r="N324" s="88">
        <f t="shared" si="67"/>
        <v>0</v>
      </c>
      <c r="O324" s="88">
        <f t="shared" si="67"/>
        <v>0</v>
      </c>
    </row>
    <row r="325" spans="1:15" ht="15.75">
      <c r="A325" s="95"/>
      <c r="B325" s="95"/>
      <c r="C325" s="95">
        <v>3260</v>
      </c>
      <c r="D325" s="1" t="s">
        <v>615</v>
      </c>
      <c r="E325" s="96">
        <f>F325+O325</f>
        <v>680</v>
      </c>
      <c r="F325" s="96">
        <v>680</v>
      </c>
      <c r="G325" s="71"/>
      <c r="H325" s="71"/>
      <c r="I325" s="71"/>
      <c r="J325" s="71"/>
      <c r="K325" s="71"/>
      <c r="L325" s="71"/>
      <c r="M325" s="169"/>
      <c r="N325" s="169"/>
      <c r="O325" s="71"/>
    </row>
    <row r="326" spans="1:15" ht="15.75">
      <c r="A326" s="95"/>
      <c r="B326" s="95"/>
      <c r="C326" s="95">
        <v>4300</v>
      </c>
      <c r="D326" s="1" t="s">
        <v>481</v>
      </c>
      <c r="E326" s="96">
        <f>F326+O326</f>
        <v>320</v>
      </c>
      <c r="F326" s="96">
        <v>320</v>
      </c>
      <c r="G326" s="71"/>
      <c r="H326" s="71"/>
      <c r="I326" s="71"/>
      <c r="J326" s="71"/>
      <c r="K326" s="71"/>
      <c r="L326" s="71"/>
      <c r="M326" s="169"/>
      <c r="N326" s="169"/>
      <c r="O326" s="71"/>
    </row>
    <row r="327" spans="1:15" ht="31.5">
      <c r="A327" s="64">
        <v>900</v>
      </c>
      <c r="B327" s="64"/>
      <c r="C327" s="64"/>
      <c r="D327" s="64" t="s">
        <v>616</v>
      </c>
      <c r="E327" s="93">
        <f aca="true" t="shared" si="68" ref="E327:O327">E328+E331+E334+E337+E339+E345</f>
        <v>1939203</v>
      </c>
      <c r="F327" s="93">
        <f t="shared" si="68"/>
        <v>1618769</v>
      </c>
      <c r="G327" s="93">
        <f t="shared" si="68"/>
        <v>0</v>
      </c>
      <c r="H327" s="93">
        <f t="shared" si="68"/>
        <v>0</v>
      </c>
      <c r="I327" s="93">
        <f t="shared" si="68"/>
        <v>0</v>
      </c>
      <c r="J327" s="93">
        <f t="shared" si="68"/>
        <v>0</v>
      </c>
      <c r="K327" s="93">
        <f t="shared" si="68"/>
        <v>0</v>
      </c>
      <c r="L327" s="93">
        <f t="shared" si="68"/>
        <v>0</v>
      </c>
      <c r="M327" s="93">
        <f t="shared" si="68"/>
        <v>0</v>
      </c>
      <c r="N327" s="93">
        <f t="shared" si="68"/>
        <v>0</v>
      </c>
      <c r="O327" s="93">
        <f t="shared" si="68"/>
        <v>320434</v>
      </c>
    </row>
    <row r="328" spans="1:15" ht="15.75">
      <c r="A328" s="94"/>
      <c r="B328" s="94">
        <v>90001</v>
      </c>
      <c r="C328" s="94"/>
      <c r="D328" s="66" t="s">
        <v>617</v>
      </c>
      <c r="E328" s="88">
        <f aca="true" t="shared" si="69" ref="E328:O328">SUM(E329:E330)</f>
        <v>140000</v>
      </c>
      <c r="F328" s="88">
        <f t="shared" si="69"/>
        <v>65000</v>
      </c>
      <c r="G328" s="88">
        <f t="shared" si="69"/>
        <v>0</v>
      </c>
      <c r="H328" s="88">
        <f t="shared" si="69"/>
        <v>0</v>
      </c>
      <c r="I328" s="88">
        <f t="shared" si="69"/>
        <v>0</v>
      </c>
      <c r="J328" s="88">
        <f t="shared" si="69"/>
        <v>0</v>
      </c>
      <c r="K328" s="88">
        <f t="shared" si="69"/>
        <v>0</v>
      </c>
      <c r="L328" s="88">
        <f t="shared" si="69"/>
        <v>0</v>
      </c>
      <c r="M328" s="88">
        <f t="shared" si="69"/>
        <v>0</v>
      </c>
      <c r="N328" s="88">
        <f t="shared" si="69"/>
        <v>0</v>
      </c>
      <c r="O328" s="88">
        <f t="shared" si="69"/>
        <v>75000</v>
      </c>
    </row>
    <row r="329" spans="1:15" ht="15.75">
      <c r="A329" s="94"/>
      <c r="B329" s="95"/>
      <c r="C329" s="95">
        <v>4300</v>
      </c>
      <c r="D329" s="1" t="s">
        <v>481</v>
      </c>
      <c r="E329" s="96">
        <f>F329+O329</f>
        <v>65000</v>
      </c>
      <c r="F329" s="96">
        <v>65000</v>
      </c>
      <c r="G329" s="71"/>
      <c r="H329" s="71"/>
      <c r="I329" s="71"/>
      <c r="J329" s="71"/>
      <c r="K329" s="71"/>
      <c r="L329" s="71"/>
      <c r="M329" s="169"/>
      <c r="N329" s="169"/>
      <c r="O329" s="71"/>
    </row>
    <row r="330" spans="1:15" ht="31.5">
      <c r="A330" s="94"/>
      <c r="B330" s="95"/>
      <c r="C330" s="95">
        <v>6050</v>
      </c>
      <c r="D330" s="1" t="s">
        <v>487</v>
      </c>
      <c r="E330" s="96">
        <f>F330+O330</f>
        <v>75000</v>
      </c>
      <c r="F330" s="71">
        <f>SUM(G330:N330)</f>
        <v>0</v>
      </c>
      <c r="G330" s="71"/>
      <c r="H330" s="71"/>
      <c r="I330" s="71"/>
      <c r="J330" s="71"/>
      <c r="K330" s="71"/>
      <c r="L330" s="71"/>
      <c r="M330" s="169"/>
      <c r="N330" s="169"/>
      <c r="O330" s="96">
        <f>'zał 11'!E54</f>
        <v>75000</v>
      </c>
    </row>
    <row r="331" spans="1:15" ht="15.75">
      <c r="A331" s="94"/>
      <c r="B331" s="94">
        <v>90003</v>
      </c>
      <c r="C331" s="94"/>
      <c r="D331" s="66" t="s">
        <v>618</v>
      </c>
      <c r="E331" s="88">
        <f aca="true" t="shared" si="70" ref="E331:O331">SUM(E332:E333)</f>
        <v>339960</v>
      </c>
      <c r="F331" s="88">
        <f t="shared" si="70"/>
        <v>339960</v>
      </c>
      <c r="G331" s="88">
        <f t="shared" si="70"/>
        <v>0</v>
      </c>
      <c r="H331" s="88">
        <f t="shared" si="70"/>
        <v>0</v>
      </c>
      <c r="I331" s="88">
        <f t="shared" si="70"/>
        <v>0</v>
      </c>
      <c r="J331" s="88">
        <f t="shared" si="70"/>
        <v>0</v>
      </c>
      <c r="K331" s="88">
        <f t="shared" si="70"/>
        <v>0</v>
      </c>
      <c r="L331" s="88">
        <f t="shared" si="70"/>
        <v>0</v>
      </c>
      <c r="M331" s="88">
        <f t="shared" si="70"/>
        <v>0</v>
      </c>
      <c r="N331" s="88">
        <f t="shared" si="70"/>
        <v>0</v>
      </c>
      <c r="O331" s="88">
        <f t="shared" si="70"/>
        <v>0</v>
      </c>
    </row>
    <row r="332" spans="1:15" ht="15.75">
      <c r="A332" s="94"/>
      <c r="B332" s="95"/>
      <c r="C332" s="95">
        <v>4210</v>
      </c>
      <c r="D332" s="1" t="s">
        <v>555</v>
      </c>
      <c r="E332" s="96">
        <f>F332+O332</f>
        <v>9300</v>
      </c>
      <c r="F332" s="96">
        <f>9000+300</f>
        <v>9300</v>
      </c>
      <c r="G332" s="71"/>
      <c r="H332" s="71"/>
      <c r="I332" s="71"/>
      <c r="J332" s="71"/>
      <c r="K332" s="71"/>
      <c r="L332" s="71"/>
      <c r="M332" s="169"/>
      <c r="N332" s="169"/>
      <c r="O332" s="71"/>
    </row>
    <row r="333" spans="1:15" ht="15.75">
      <c r="A333" s="94"/>
      <c r="B333" s="95"/>
      <c r="C333" s="95">
        <v>4300</v>
      </c>
      <c r="D333" s="1" t="s">
        <v>481</v>
      </c>
      <c r="E333" s="96">
        <f>F333+O333</f>
        <v>330660</v>
      </c>
      <c r="F333" s="96">
        <f>305000+10000+12000+3660</f>
        <v>330660</v>
      </c>
      <c r="G333" s="71"/>
      <c r="H333" s="71"/>
      <c r="I333" s="71"/>
      <c r="J333" s="71"/>
      <c r="K333" s="71"/>
      <c r="L333" s="71"/>
      <c r="M333" s="169"/>
      <c r="N333" s="169"/>
      <c r="O333" s="71"/>
    </row>
    <row r="334" spans="1:15" ht="15.75">
      <c r="A334" s="89"/>
      <c r="B334" s="94">
        <v>90004</v>
      </c>
      <c r="C334" s="94"/>
      <c r="D334" s="66" t="s">
        <v>619</v>
      </c>
      <c r="E334" s="88">
        <f aca="true" t="shared" si="71" ref="E334:O334">SUM(E335:E336)</f>
        <v>362600</v>
      </c>
      <c r="F334" s="88">
        <f t="shared" si="71"/>
        <v>362600</v>
      </c>
      <c r="G334" s="88">
        <f t="shared" si="71"/>
        <v>0</v>
      </c>
      <c r="H334" s="88">
        <f t="shared" si="71"/>
        <v>0</v>
      </c>
      <c r="I334" s="88">
        <f t="shared" si="71"/>
        <v>0</v>
      </c>
      <c r="J334" s="88">
        <f t="shared" si="71"/>
        <v>0</v>
      </c>
      <c r="K334" s="88">
        <f t="shared" si="71"/>
        <v>0</v>
      </c>
      <c r="L334" s="88">
        <f t="shared" si="71"/>
        <v>0</v>
      </c>
      <c r="M334" s="88">
        <f t="shared" si="71"/>
        <v>0</v>
      </c>
      <c r="N334" s="88">
        <f t="shared" si="71"/>
        <v>0</v>
      </c>
      <c r="O334" s="88">
        <f t="shared" si="71"/>
        <v>0</v>
      </c>
    </row>
    <row r="335" spans="1:15" ht="15.75">
      <c r="A335" s="108"/>
      <c r="B335" s="95"/>
      <c r="C335" s="95">
        <v>4210</v>
      </c>
      <c r="D335" s="1" t="s">
        <v>498</v>
      </c>
      <c r="E335" s="96">
        <f>F335+O335</f>
        <v>2000</v>
      </c>
      <c r="F335" s="96">
        <f>1600+200+200</f>
        <v>2000</v>
      </c>
      <c r="G335" s="71"/>
      <c r="H335" s="71"/>
      <c r="I335" s="71"/>
      <c r="J335" s="71"/>
      <c r="K335" s="71"/>
      <c r="L335" s="71"/>
      <c r="M335" s="169"/>
      <c r="N335" s="169"/>
      <c r="O335" s="71"/>
    </row>
    <row r="336" spans="1:15" ht="15.75">
      <c r="A336" s="108"/>
      <c r="B336" s="95"/>
      <c r="C336" s="95">
        <v>4300</v>
      </c>
      <c r="D336" s="1" t="s">
        <v>481</v>
      </c>
      <c r="E336" s="96">
        <f>F336+O336</f>
        <v>360600</v>
      </c>
      <c r="F336" s="96">
        <f>344000+10000+5000+1600</f>
        <v>360600</v>
      </c>
      <c r="G336" s="71"/>
      <c r="H336" s="71"/>
      <c r="I336" s="71"/>
      <c r="J336" s="71"/>
      <c r="K336" s="71"/>
      <c r="L336" s="71"/>
      <c r="M336" s="169"/>
      <c r="N336" s="169"/>
      <c r="O336" s="71"/>
    </row>
    <row r="337" spans="1:15" ht="15.75">
      <c r="A337" s="89"/>
      <c r="B337" s="94">
        <v>90013</v>
      </c>
      <c r="C337" s="94"/>
      <c r="D337" s="66" t="s">
        <v>620</v>
      </c>
      <c r="E337" s="88">
        <f aca="true" t="shared" si="72" ref="E337:O337">E338</f>
        <v>46340</v>
      </c>
      <c r="F337" s="88">
        <f t="shared" si="72"/>
        <v>46340</v>
      </c>
      <c r="G337" s="88">
        <f t="shared" si="72"/>
        <v>0</v>
      </c>
      <c r="H337" s="88">
        <f t="shared" si="72"/>
        <v>0</v>
      </c>
      <c r="I337" s="88">
        <f t="shared" si="72"/>
        <v>0</v>
      </c>
      <c r="J337" s="88">
        <f t="shared" si="72"/>
        <v>0</v>
      </c>
      <c r="K337" s="88">
        <f t="shared" si="72"/>
        <v>0</v>
      </c>
      <c r="L337" s="88">
        <f t="shared" si="72"/>
        <v>0</v>
      </c>
      <c r="M337" s="88">
        <f t="shared" si="72"/>
        <v>0</v>
      </c>
      <c r="N337" s="88">
        <f t="shared" si="72"/>
        <v>0</v>
      </c>
      <c r="O337" s="88">
        <f t="shared" si="72"/>
        <v>0</v>
      </c>
    </row>
    <row r="338" spans="1:15" ht="15.75">
      <c r="A338" s="108"/>
      <c r="B338" s="95"/>
      <c r="C338" s="95">
        <v>4300</v>
      </c>
      <c r="D338" s="1" t="s">
        <v>481</v>
      </c>
      <c r="E338" s="96">
        <f>F338+O338</f>
        <v>46340</v>
      </c>
      <c r="F338" s="71">
        <f>50000-3660</f>
        <v>46340</v>
      </c>
      <c r="G338" s="71"/>
      <c r="H338" s="71"/>
      <c r="I338" s="71"/>
      <c r="J338" s="71"/>
      <c r="K338" s="71"/>
      <c r="L338" s="71"/>
      <c r="M338" s="169"/>
      <c r="N338" s="169"/>
      <c r="O338" s="71"/>
    </row>
    <row r="339" spans="1:15" ht="15.75">
      <c r="A339" s="89"/>
      <c r="B339" s="94">
        <v>90015</v>
      </c>
      <c r="C339" s="94"/>
      <c r="D339" s="66" t="s">
        <v>621</v>
      </c>
      <c r="E339" s="88">
        <f aca="true" t="shared" si="73" ref="E339:O339">SUM(E340:E344)</f>
        <v>876900</v>
      </c>
      <c r="F339" s="88">
        <f t="shared" si="73"/>
        <v>636900</v>
      </c>
      <c r="G339" s="88">
        <f t="shared" si="73"/>
        <v>0</v>
      </c>
      <c r="H339" s="88">
        <f t="shared" si="73"/>
        <v>0</v>
      </c>
      <c r="I339" s="88">
        <f t="shared" si="73"/>
        <v>0</v>
      </c>
      <c r="J339" s="88">
        <f t="shared" si="73"/>
        <v>0</v>
      </c>
      <c r="K339" s="88">
        <f t="shared" si="73"/>
        <v>0</v>
      </c>
      <c r="L339" s="88">
        <f t="shared" si="73"/>
        <v>0</v>
      </c>
      <c r="M339" s="88">
        <f t="shared" si="73"/>
        <v>0</v>
      </c>
      <c r="N339" s="88">
        <f t="shared" si="73"/>
        <v>0</v>
      </c>
      <c r="O339" s="88">
        <f t="shared" si="73"/>
        <v>240000</v>
      </c>
    </row>
    <row r="340" spans="1:15" ht="15.75">
      <c r="A340" s="108"/>
      <c r="B340" s="95"/>
      <c r="C340" s="95">
        <v>4210</v>
      </c>
      <c r="D340" s="1" t="s">
        <v>485</v>
      </c>
      <c r="E340" s="96">
        <f>F340+O340</f>
        <v>1500</v>
      </c>
      <c r="F340" s="96">
        <v>1500</v>
      </c>
      <c r="G340" s="71"/>
      <c r="H340" s="71"/>
      <c r="I340" s="71"/>
      <c r="J340" s="71"/>
      <c r="K340" s="71"/>
      <c r="L340" s="71"/>
      <c r="M340" s="169"/>
      <c r="N340" s="169"/>
      <c r="O340" s="71"/>
    </row>
    <row r="341" spans="1:15" ht="15.75">
      <c r="A341" s="108"/>
      <c r="B341" s="95"/>
      <c r="C341" s="95">
        <v>4260</v>
      </c>
      <c r="D341" s="1" t="s">
        <v>547</v>
      </c>
      <c r="E341" s="96">
        <f>F341+O341</f>
        <v>406400</v>
      </c>
      <c r="F341" s="96">
        <v>406400</v>
      </c>
      <c r="G341" s="71"/>
      <c r="H341" s="71"/>
      <c r="I341" s="71"/>
      <c r="J341" s="71"/>
      <c r="K341" s="71"/>
      <c r="L341" s="71"/>
      <c r="M341" s="169"/>
      <c r="N341" s="169"/>
      <c r="O341" s="71"/>
    </row>
    <row r="342" spans="1:15" ht="15.75">
      <c r="A342" s="108"/>
      <c r="B342" s="95"/>
      <c r="C342" s="95">
        <v>4270</v>
      </c>
      <c r="D342" s="1" t="s">
        <v>622</v>
      </c>
      <c r="E342" s="96">
        <f>F342+O342</f>
        <v>223000</v>
      </c>
      <c r="F342" s="96">
        <v>223000</v>
      </c>
      <c r="G342" s="71"/>
      <c r="H342" s="71"/>
      <c r="I342" s="71"/>
      <c r="J342" s="71"/>
      <c r="K342" s="71"/>
      <c r="L342" s="71"/>
      <c r="M342" s="169"/>
      <c r="N342" s="169"/>
      <c r="O342" s="71"/>
    </row>
    <row r="343" spans="1:15" ht="15.75">
      <c r="A343" s="108"/>
      <c r="B343" s="95"/>
      <c r="C343" s="95">
        <v>4300</v>
      </c>
      <c r="D343" s="1" t="s">
        <v>481</v>
      </c>
      <c r="E343" s="96">
        <f>F343+O343</f>
        <v>6000</v>
      </c>
      <c r="F343" s="96">
        <v>6000</v>
      </c>
      <c r="G343" s="71"/>
      <c r="H343" s="71"/>
      <c r="I343" s="71"/>
      <c r="J343" s="71"/>
      <c r="K343" s="71"/>
      <c r="L343" s="71"/>
      <c r="M343" s="169"/>
      <c r="N343" s="169"/>
      <c r="O343" s="71"/>
    </row>
    <row r="344" spans="1:15" ht="47.25">
      <c r="A344" s="108"/>
      <c r="B344" s="1" t="s">
        <v>340</v>
      </c>
      <c r="C344" s="95" t="s">
        <v>623</v>
      </c>
      <c r="D344" s="1" t="s">
        <v>624</v>
      </c>
      <c r="E344" s="96">
        <f>F344+O344</f>
        <v>240000</v>
      </c>
      <c r="F344" s="71">
        <f>SUM(G344:N344)</f>
        <v>0</v>
      </c>
      <c r="G344" s="71"/>
      <c r="H344" s="71"/>
      <c r="I344" s="71"/>
      <c r="J344" s="71"/>
      <c r="K344" s="71"/>
      <c r="L344" s="71"/>
      <c r="M344" s="169"/>
      <c r="N344" s="169"/>
      <c r="O344" s="96">
        <f>'zał 11'!E57</f>
        <v>240000</v>
      </c>
    </row>
    <row r="345" spans="1:15" ht="15.75">
      <c r="A345" s="94"/>
      <c r="B345" s="94">
        <v>90095</v>
      </c>
      <c r="C345" s="94"/>
      <c r="D345" s="66" t="s">
        <v>306</v>
      </c>
      <c r="E345" s="88">
        <f aca="true" t="shared" si="74" ref="E345:O345">SUM(E346:E349)</f>
        <v>173403</v>
      </c>
      <c r="F345" s="88">
        <f t="shared" si="74"/>
        <v>167969</v>
      </c>
      <c r="G345" s="88">
        <f t="shared" si="74"/>
        <v>0</v>
      </c>
      <c r="H345" s="88">
        <f t="shared" si="74"/>
        <v>0</v>
      </c>
      <c r="I345" s="88">
        <f t="shared" si="74"/>
        <v>0</v>
      </c>
      <c r="J345" s="88">
        <f t="shared" si="74"/>
        <v>0</v>
      </c>
      <c r="K345" s="88">
        <f t="shared" si="74"/>
        <v>0</v>
      </c>
      <c r="L345" s="88">
        <f t="shared" si="74"/>
        <v>0</v>
      </c>
      <c r="M345" s="88">
        <f t="shared" si="74"/>
        <v>0</v>
      </c>
      <c r="N345" s="88">
        <f t="shared" si="74"/>
        <v>0</v>
      </c>
      <c r="O345" s="88">
        <f t="shared" si="74"/>
        <v>5434</v>
      </c>
    </row>
    <row r="346" spans="1:15" ht="15.75">
      <c r="A346" s="95"/>
      <c r="B346" s="95"/>
      <c r="C346" s="95">
        <v>4210</v>
      </c>
      <c r="D346" s="1" t="s">
        <v>485</v>
      </c>
      <c r="E346" s="96">
        <f>F346+O346</f>
        <v>16669</v>
      </c>
      <c r="F346" s="190">
        <f>2500+1069+1400+11400+300</f>
        <v>16669</v>
      </c>
      <c r="G346" s="71"/>
      <c r="H346" s="192"/>
      <c r="I346" s="192"/>
      <c r="J346" s="192"/>
      <c r="K346" s="192"/>
      <c r="L346" s="192"/>
      <c r="M346" s="177"/>
      <c r="N346" s="177"/>
      <c r="O346" s="192"/>
    </row>
    <row r="347" spans="1:15" ht="15.75">
      <c r="A347" s="95"/>
      <c r="B347" s="95"/>
      <c r="C347" s="95">
        <v>4270</v>
      </c>
      <c r="D347" s="1" t="s">
        <v>622</v>
      </c>
      <c r="E347" s="96">
        <f>F347+O347</f>
        <v>20000</v>
      </c>
      <c r="F347" s="96">
        <f>10000+10000</f>
        <v>20000</v>
      </c>
      <c r="G347" s="71"/>
      <c r="H347" s="192"/>
      <c r="I347" s="192"/>
      <c r="J347" s="192"/>
      <c r="K347" s="192"/>
      <c r="L347" s="192"/>
      <c r="M347" s="177"/>
      <c r="N347" s="177"/>
      <c r="O347" s="192"/>
    </row>
    <row r="348" spans="1:15" ht="15.75">
      <c r="A348" s="95"/>
      <c r="B348" s="95"/>
      <c r="C348" s="95">
        <v>4300</v>
      </c>
      <c r="D348" s="1" t="s">
        <v>625</v>
      </c>
      <c r="E348" s="96">
        <f>F348+O348</f>
        <v>131300</v>
      </c>
      <c r="F348" s="96">
        <f>10000+5000+4300+90000+2500+3000+3500+1600+1400+10000</f>
        <v>131300</v>
      </c>
      <c r="G348" s="71"/>
      <c r="H348" s="192"/>
      <c r="I348" s="192"/>
      <c r="J348" s="192"/>
      <c r="K348" s="192"/>
      <c r="L348" s="192"/>
      <c r="M348" s="177"/>
      <c r="N348" s="177"/>
      <c r="O348" s="192"/>
    </row>
    <row r="349" spans="1:15" ht="31.5">
      <c r="A349" s="95"/>
      <c r="B349" s="95"/>
      <c r="C349" s="95">
        <v>6050</v>
      </c>
      <c r="D349" s="1" t="s">
        <v>487</v>
      </c>
      <c r="E349" s="96">
        <f>F349+O349</f>
        <v>5434</v>
      </c>
      <c r="F349" s="71">
        <f>SUM(G349:N349)</f>
        <v>0</v>
      </c>
      <c r="G349" s="71"/>
      <c r="H349" s="192"/>
      <c r="I349" s="192"/>
      <c r="J349" s="192"/>
      <c r="K349" s="192"/>
      <c r="L349" s="192"/>
      <c r="M349" s="177"/>
      <c r="N349" s="177"/>
      <c r="O349" s="96">
        <f>'zał 11'!E60</f>
        <v>5434</v>
      </c>
    </row>
    <row r="350" spans="1:15" ht="15.75" customHeight="1">
      <c r="A350" s="744" t="s">
        <v>626</v>
      </c>
      <c r="B350" s="744"/>
      <c r="C350" s="744"/>
      <c r="D350" s="744"/>
      <c r="E350" s="744"/>
      <c r="F350" s="744"/>
      <c r="G350" s="744"/>
      <c r="H350" s="744"/>
      <c r="I350" s="744"/>
      <c r="J350" s="744"/>
      <c r="K350" s="744"/>
      <c r="L350" s="744"/>
      <c r="M350" s="744"/>
      <c r="N350" s="744"/>
      <c r="O350" s="744"/>
    </row>
    <row r="351" spans="1:15" ht="28.5" customHeight="1">
      <c r="A351" s="64">
        <v>921</v>
      </c>
      <c r="B351" s="64"/>
      <c r="C351" s="64"/>
      <c r="D351" s="64" t="s">
        <v>428</v>
      </c>
      <c r="E351" s="93">
        <f aca="true" t="shared" si="75" ref="E351:O351">E352+E362+E364+E360</f>
        <v>1936115</v>
      </c>
      <c r="F351" s="93">
        <f t="shared" si="75"/>
        <v>1866115</v>
      </c>
      <c r="G351" s="93">
        <f t="shared" si="75"/>
        <v>0</v>
      </c>
      <c r="H351" s="93">
        <f t="shared" si="75"/>
        <v>0</v>
      </c>
      <c r="I351" s="93">
        <f t="shared" si="75"/>
        <v>0</v>
      </c>
      <c r="J351" s="93">
        <f t="shared" si="75"/>
        <v>1531665</v>
      </c>
      <c r="K351" s="93">
        <f t="shared" si="75"/>
        <v>0</v>
      </c>
      <c r="L351" s="93">
        <f t="shared" si="75"/>
        <v>0</v>
      </c>
      <c r="M351" s="93">
        <f t="shared" si="75"/>
        <v>0</v>
      </c>
      <c r="N351" s="93">
        <f t="shared" si="75"/>
        <v>0</v>
      </c>
      <c r="O351" s="93">
        <f t="shared" si="75"/>
        <v>70000</v>
      </c>
    </row>
    <row r="352" spans="1:15" s="154" customFormat="1" ht="15.75">
      <c r="A352" s="94"/>
      <c r="B352" s="94">
        <v>92109</v>
      </c>
      <c r="C352" s="94"/>
      <c r="D352" s="66" t="s">
        <v>429</v>
      </c>
      <c r="E352" s="88">
        <f aca="true" t="shared" si="76" ref="E352:O352">SUM(E353:E359)</f>
        <v>1647642</v>
      </c>
      <c r="F352" s="88">
        <f t="shared" si="76"/>
        <v>1617642</v>
      </c>
      <c r="G352" s="88">
        <f t="shared" si="76"/>
        <v>0</v>
      </c>
      <c r="H352" s="88">
        <f t="shared" si="76"/>
        <v>0</v>
      </c>
      <c r="I352" s="88">
        <f t="shared" si="76"/>
        <v>0</v>
      </c>
      <c r="J352" s="88">
        <f t="shared" si="76"/>
        <v>1479665</v>
      </c>
      <c r="K352" s="88">
        <f t="shared" si="76"/>
        <v>0</v>
      </c>
      <c r="L352" s="88">
        <f t="shared" si="76"/>
        <v>0</v>
      </c>
      <c r="M352" s="88">
        <f t="shared" si="76"/>
        <v>0</v>
      </c>
      <c r="N352" s="88">
        <f t="shared" si="76"/>
        <v>0</v>
      </c>
      <c r="O352" s="88">
        <f t="shared" si="76"/>
        <v>30000</v>
      </c>
    </row>
    <row r="353" spans="1:15" ht="31.5">
      <c r="A353" s="94"/>
      <c r="B353" s="95"/>
      <c r="C353" s="95">
        <v>2480</v>
      </c>
      <c r="D353" s="1" t="s">
        <v>627</v>
      </c>
      <c r="E353" s="96">
        <f aca="true" t="shared" si="77" ref="E353:E359">F353+O353</f>
        <v>1479665</v>
      </c>
      <c r="F353" s="71">
        <f>SUM(G353:N353)</f>
        <v>1479665</v>
      </c>
      <c r="G353" s="71"/>
      <c r="H353" s="192"/>
      <c r="I353" s="192"/>
      <c r="J353" s="96">
        <f>'zał 24'!E9</f>
        <v>1479665</v>
      </c>
      <c r="K353" s="96"/>
      <c r="L353" s="96"/>
      <c r="M353" s="177"/>
      <c r="N353" s="177"/>
      <c r="O353" s="192"/>
    </row>
    <row r="354" spans="1:15" ht="15.75">
      <c r="A354" s="94"/>
      <c r="B354" s="95"/>
      <c r="C354" s="95">
        <v>4210</v>
      </c>
      <c r="D354" s="1" t="s">
        <v>485</v>
      </c>
      <c r="E354" s="96">
        <f t="shared" si="77"/>
        <v>47977</v>
      </c>
      <c r="F354" s="190">
        <f>1600+3130+3000+6045+14478+2125+6472+4290+13373-472-2500-6458+2894</f>
        <v>47977</v>
      </c>
      <c r="G354" s="71"/>
      <c r="H354" s="192"/>
      <c r="I354"/>
      <c r="J354" s="192"/>
      <c r="K354" s="192"/>
      <c r="L354" s="192"/>
      <c r="M354" s="177"/>
      <c r="N354" s="177"/>
      <c r="O354" s="192"/>
    </row>
    <row r="355" spans="1:15" ht="15.75">
      <c r="A355" s="94"/>
      <c r="B355" s="95"/>
      <c r="C355" s="95">
        <v>4260</v>
      </c>
      <c r="D355" s="1" t="s">
        <v>547</v>
      </c>
      <c r="E355" s="96">
        <f t="shared" si="77"/>
        <v>42100</v>
      </c>
      <c r="F355" s="96">
        <v>42100</v>
      </c>
      <c r="G355" s="71"/>
      <c r="H355" s="192"/>
      <c r="I355" s="192"/>
      <c r="J355" s="192"/>
      <c r="K355" s="192"/>
      <c r="L355" s="192"/>
      <c r="M355" s="177"/>
      <c r="N355" s="177"/>
      <c r="O355" s="192"/>
    </row>
    <row r="356" spans="1:15" ht="15.75">
      <c r="A356" s="94"/>
      <c r="B356" s="95"/>
      <c r="C356" s="95">
        <v>4270</v>
      </c>
      <c r="D356" s="1" t="s">
        <v>489</v>
      </c>
      <c r="E356" s="96">
        <f t="shared" si="77"/>
        <v>30000</v>
      </c>
      <c r="F356" s="96">
        <f>30000</f>
        <v>30000</v>
      </c>
      <c r="G356" s="71"/>
      <c r="H356" s="192"/>
      <c r="I356" s="192"/>
      <c r="J356" s="192"/>
      <c r="K356" s="192"/>
      <c r="L356" s="192"/>
      <c r="M356" s="177"/>
      <c r="N356" s="177"/>
      <c r="O356" s="192"/>
    </row>
    <row r="357" spans="1:15" ht="15.75">
      <c r="A357" s="94"/>
      <c r="B357" s="95"/>
      <c r="C357" s="95">
        <v>4300</v>
      </c>
      <c r="D357" s="1" t="s">
        <v>481</v>
      </c>
      <c r="E357" s="96">
        <f t="shared" si="77"/>
        <v>16900</v>
      </c>
      <c r="F357" s="96">
        <v>16900</v>
      </c>
      <c r="G357" s="71"/>
      <c r="H357" s="192"/>
      <c r="I357" s="192"/>
      <c r="J357" s="192"/>
      <c r="K357" s="192"/>
      <c r="L357" s="192"/>
      <c r="M357" s="177"/>
      <c r="N357" s="177"/>
      <c r="O357" s="192"/>
    </row>
    <row r="358" spans="1:15" ht="31.5">
      <c r="A358" s="95"/>
      <c r="B358" s="95"/>
      <c r="C358" s="95">
        <v>4370</v>
      </c>
      <c r="D358" s="60" t="s">
        <v>512</v>
      </c>
      <c r="E358" s="96">
        <f t="shared" si="77"/>
        <v>1000</v>
      </c>
      <c r="F358" s="96">
        <v>1000</v>
      </c>
      <c r="G358" s="71"/>
      <c r="H358" s="71"/>
      <c r="I358" s="71"/>
      <c r="J358" s="71"/>
      <c r="K358" s="71"/>
      <c r="L358" s="71"/>
      <c r="M358" s="169"/>
      <c r="N358" s="169"/>
      <c r="O358" s="71"/>
    </row>
    <row r="359" spans="1:15" ht="31.5">
      <c r="A359" s="94"/>
      <c r="B359" s="95"/>
      <c r="C359" s="95">
        <v>6050</v>
      </c>
      <c r="D359" s="1" t="s">
        <v>487</v>
      </c>
      <c r="E359" s="96">
        <f t="shared" si="77"/>
        <v>30000</v>
      </c>
      <c r="F359" s="96"/>
      <c r="G359" s="71"/>
      <c r="H359" s="192"/>
      <c r="I359" s="192"/>
      <c r="J359" s="192"/>
      <c r="K359" s="192"/>
      <c r="L359" s="192"/>
      <c r="M359" s="177"/>
      <c r="N359" s="177"/>
      <c r="O359" s="190">
        <f>'zał 11'!E64</f>
        <v>30000</v>
      </c>
    </row>
    <row r="360" spans="1:15" s="154" customFormat="1" ht="15.75">
      <c r="A360" s="94"/>
      <c r="B360" s="170">
        <v>92116</v>
      </c>
      <c r="C360" s="170"/>
      <c r="D360" s="171" t="s">
        <v>628</v>
      </c>
      <c r="E360" s="88">
        <f aca="true" t="shared" si="78" ref="E360:O360">E361</f>
        <v>40000</v>
      </c>
      <c r="F360" s="88">
        <f t="shared" si="78"/>
        <v>0</v>
      </c>
      <c r="G360" s="88">
        <f t="shared" si="78"/>
        <v>0</v>
      </c>
      <c r="H360" s="88">
        <f t="shared" si="78"/>
        <v>0</v>
      </c>
      <c r="I360" s="88">
        <f t="shared" si="78"/>
        <v>0</v>
      </c>
      <c r="J360" s="88">
        <f t="shared" si="78"/>
        <v>0</v>
      </c>
      <c r="K360" s="88">
        <f t="shared" si="78"/>
        <v>0</v>
      </c>
      <c r="L360" s="88">
        <f t="shared" si="78"/>
        <v>0</v>
      </c>
      <c r="M360" s="88">
        <f t="shared" si="78"/>
        <v>0</v>
      </c>
      <c r="N360" s="88">
        <f t="shared" si="78"/>
        <v>0</v>
      </c>
      <c r="O360" s="88">
        <f t="shared" si="78"/>
        <v>40000</v>
      </c>
    </row>
    <row r="361" spans="1:15" ht="31.5">
      <c r="A361" s="94"/>
      <c r="B361" s="193"/>
      <c r="C361" s="193">
        <v>6050</v>
      </c>
      <c r="D361" s="194" t="s">
        <v>482</v>
      </c>
      <c r="E361" s="96">
        <f>O361</f>
        <v>40000</v>
      </c>
      <c r="F361" s="96"/>
      <c r="G361" s="71"/>
      <c r="H361" s="192"/>
      <c r="I361" s="192"/>
      <c r="J361" s="192"/>
      <c r="K361" s="192"/>
      <c r="L361" s="192"/>
      <c r="M361" s="177"/>
      <c r="N361" s="177"/>
      <c r="O361" s="190">
        <f>'zał 11'!E67</f>
        <v>40000</v>
      </c>
    </row>
    <row r="362" spans="1:15" ht="15.75">
      <c r="A362" s="94"/>
      <c r="B362" s="94">
        <v>92120</v>
      </c>
      <c r="C362" s="94"/>
      <c r="D362" s="66" t="s">
        <v>629</v>
      </c>
      <c r="E362" s="88">
        <f aca="true" t="shared" si="79" ref="E362:O362">SUM(E363:E363)</f>
        <v>12000</v>
      </c>
      <c r="F362" s="88">
        <f t="shared" si="79"/>
        <v>12000</v>
      </c>
      <c r="G362" s="88">
        <f t="shared" si="79"/>
        <v>0</v>
      </c>
      <c r="H362" s="88">
        <f t="shared" si="79"/>
        <v>0</v>
      </c>
      <c r="I362" s="88">
        <f t="shared" si="79"/>
        <v>0</v>
      </c>
      <c r="J362" s="88">
        <f t="shared" si="79"/>
        <v>0</v>
      </c>
      <c r="K362" s="88">
        <f t="shared" si="79"/>
        <v>0</v>
      </c>
      <c r="L362" s="88">
        <f t="shared" si="79"/>
        <v>0</v>
      </c>
      <c r="M362" s="88">
        <f t="shared" si="79"/>
        <v>0</v>
      </c>
      <c r="N362" s="88">
        <f t="shared" si="79"/>
        <v>0</v>
      </c>
      <c r="O362" s="88">
        <f t="shared" si="79"/>
        <v>0</v>
      </c>
    </row>
    <row r="363" spans="1:15" ht="15.75">
      <c r="A363" s="94"/>
      <c r="B363" s="95"/>
      <c r="C363" s="1">
        <v>4270</v>
      </c>
      <c r="D363" s="1" t="s">
        <v>489</v>
      </c>
      <c r="E363" s="96">
        <f>F363+O363</f>
        <v>12000</v>
      </c>
      <c r="F363" s="96">
        <v>12000</v>
      </c>
      <c r="G363" s="71"/>
      <c r="H363" s="192"/>
      <c r="I363" s="192"/>
      <c r="J363" s="192"/>
      <c r="K363" s="192"/>
      <c r="L363" s="192"/>
      <c r="M363" s="177"/>
      <c r="N363" s="177"/>
      <c r="O363" s="192"/>
    </row>
    <row r="364" spans="1:15" ht="15.75">
      <c r="A364" s="94"/>
      <c r="B364" s="94">
        <v>92195</v>
      </c>
      <c r="C364" s="94"/>
      <c r="D364" s="66" t="s">
        <v>306</v>
      </c>
      <c r="E364" s="88">
        <f aca="true" t="shared" si="80" ref="E364:O364">SUM(E365:E367)</f>
        <v>236473</v>
      </c>
      <c r="F364" s="88">
        <f t="shared" si="80"/>
        <v>236473</v>
      </c>
      <c r="G364" s="88">
        <f t="shared" si="80"/>
        <v>0</v>
      </c>
      <c r="H364" s="88">
        <f t="shared" si="80"/>
        <v>0</v>
      </c>
      <c r="I364" s="88">
        <f t="shared" si="80"/>
        <v>0</v>
      </c>
      <c r="J364" s="88">
        <f t="shared" si="80"/>
        <v>52000</v>
      </c>
      <c r="K364" s="88">
        <f t="shared" si="80"/>
        <v>0</v>
      </c>
      <c r="L364" s="88">
        <f t="shared" si="80"/>
        <v>0</v>
      </c>
      <c r="M364" s="88">
        <f t="shared" si="80"/>
        <v>0</v>
      </c>
      <c r="N364" s="88">
        <f t="shared" si="80"/>
        <v>0</v>
      </c>
      <c r="O364" s="88">
        <f t="shared" si="80"/>
        <v>0</v>
      </c>
    </row>
    <row r="365" spans="1:15" ht="47.25">
      <c r="A365" s="95"/>
      <c r="B365" s="95"/>
      <c r="C365" s="95">
        <v>2820</v>
      </c>
      <c r="D365" s="1" t="s">
        <v>630</v>
      </c>
      <c r="E365" s="96">
        <f>F365+O365</f>
        <v>52000</v>
      </c>
      <c r="F365" s="96">
        <f>J365</f>
        <v>52000</v>
      </c>
      <c r="G365" s="71"/>
      <c r="H365" s="192"/>
      <c r="I365" s="192"/>
      <c r="J365" s="96">
        <f>'zał 27'!E21</f>
        <v>52000</v>
      </c>
      <c r="K365" s="96"/>
      <c r="L365" s="96"/>
      <c r="M365" s="177"/>
      <c r="N365" s="177"/>
      <c r="O365" s="192"/>
    </row>
    <row r="366" spans="1:15" ht="15.75">
      <c r="A366" s="95"/>
      <c r="B366" s="95"/>
      <c r="C366" s="95">
        <v>4210</v>
      </c>
      <c r="D366" s="109" t="s">
        <v>631</v>
      </c>
      <c r="E366" s="96">
        <f>F366+O366</f>
        <v>45273</v>
      </c>
      <c r="F366" s="96">
        <f>3500+2300+1400+2100+4875+870+2150+2460+5600+1200+1560+1000+2500+2000+558+1200+10000</f>
        <v>45273</v>
      </c>
      <c r="G366" s="71"/>
      <c r="H366" s="192"/>
      <c r="I366" s="192"/>
      <c r="J366" s="192"/>
      <c r="K366" s="192"/>
      <c r="L366" s="192"/>
      <c r="M366" s="177"/>
      <c r="N366" s="177"/>
      <c r="O366" s="192"/>
    </row>
    <row r="367" spans="1:15" ht="15.75">
      <c r="A367" s="95"/>
      <c r="B367" s="95"/>
      <c r="C367" s="95">
        <v>4300</v>
      </c>
      <c r="D367" s="1" t="s">
        <v>569</v>
      </c>
      <c r="E367" s="96">
        <f>F367+O367</f>
        <v>139200</v>
      </c>
      <c r="F367" s="96">
        <v>139200</v>
      </c>
      <c r="G367" s="71"/>
      <c r="H367" s="192"/>
      <c r="I367" s="192"/>
      <c r="J367" s="192"/>
      <c r="K367" s="192"/>
      <c r="L367" s="192"/>
      <c r="M367" s="177"/>
      <c r="N367" s="177"/>
      <c r="O367" s="192"/>
    </row>
    <row r="368" spans="1:15" ht="15.75">
      <c r="A368" s="64">
        <v>926</v>
      </c>
      <c r="B368" s="64"/>
      <c r="C368" s="64"/>
      <c r="D368" s="64" t="s">
        <v>431</v>
      </c>
      <c r="E368" s="93">
        <f aca="true" t="shared" si="81" ref="E368:O368">E369+E371+E373</f>
        <v>2043711</v>
      </c>
      <c r="F368" s="93">
        <f t="shared" si="81"/>
        <v>450147</v>
      </c>
      <c r="G368" s="93">
        <f t="shared" si="81"/>
        <v>0</v>
      </c>
      <c r="H368" s="93">
        <f t="shared" si="81"/>
        <v>0</v>
      </c>
      <c r="I368" s="93">
        <f t="shared" si="81"/>
        <v>0</v>
      </c>
      <c r="J368" s="93">
        <f t="shared" si="81"/>
        <v>339000</v>
      </c>
      <c r="K368" s="93">
        <f t="shared" si="81"/>
        <v>0</v>
      </c>
      <c r="L368" s="93">
        <f t="shared" si="81"/>
        <v>0</v>
      </c>
      <c r="M368" s="93">
        <f t="shared" si="81"/>
        <v>0</v>
      </c>
      <c r="N368" s="93">
        <f t="shared" si="81"/>
        <v>0</v>
      </c>
      <c r="O368" s="93">
        <f t="shared" si="81"/>
        <v>1593564</v>
      </c>
    </row>
    <row r="369" spans="1:15" ht="15.75">
      <c r="A369" s="94"/>
      <c r="B369" s="94">
        <v>92601</v>
      </c>
      <c r="C369" s="94"/>
      <c r="D369" s="66" t="s">
        <v>432</v>
      </c>
      <c r="E369" s="88">
        <f aca="true" t="shared" si="82" ref="E369:O369">E370</f>
        <v>1500000</v>
      </c>
      <c r="F369" s="88">
        <f t="shared" si="82"/>
        <v>0</v>
      </c>
      <c r="G369" s="88">
        <f t="shared" si="82"/>
        <v>0</v>
      </c>
      <c r="H369" s="88">
        <f t="shared" si="82"/>
        <v>0</v>
      </c>
      <c r="I369" s="88">
        <f t="shared" si="82"/>
        <v>0</v>
      </c>
      <c r="J369" s="88">
        <f t="shared" si="82"/>
        <v>0</v>
      </c>
      <c r="K369" s="88">
        <f t="shared" si="82"/>
        <v>0</v>
      </c>
      <c r="L369" s="88">
        <f t="shared" si="82"/>
        <v>0</v>
      </c>
      <c r="M369" s="88">
        <f t="shared" si="82"/>
        <v>0</v>
      </c>
      <c r="N369" s="88">
        <f t="shared" si="82"/>
        <v>0</v>
      </c>
      <c r="O369" s="88">
        <f t="shared" si="82"/>
        <v>1500000</v>
      </c>
    </row>
    <row r="370" spans="1:15" ht="31.5">
      <c r="A370" s="94"/>
      <c r="B370" s="95"/>
      <c r="C370" s="95">
        <v>6050</v>
      </c>
      <c r="D370" s="1" t="s">
        <v>482</v>
      </c>
      <c r="E370" s="96">
        <f>F370+O370</f>
        <v>1500000</v>
      </c>
      <c r="F370" s="71">
        <f>SUM(G370:N370)</f>
        <v>0</v>
      </c>
      <c r="G370" s="71"/>
      <c r="H370" s="192"/>
      <c r="I370" s="192"/>
      <c r="J370" s="192"/>
      <c r="K370" s="192"/>
      <c r="L370" s="192"/>
      <c r="M370" s="177"/>
      <c r="N370" s="177"/>
      <c r="O370" s="96">
        <f>'zał 11'!E71</f>
        <v>1500000</v>
      </c>
    </row>
    <row r="371" spans="1:15" ht="15.75">
      <c r="A371" s="94"/>
      <c r="B371" s="94">
        <v>92605</v>
      </c>
      <c r="C371" s="94"/>
      <c r="D371" s="66" t="s">
        <v>632</v>
      </c>
      <c r="E371" s="88">
        <f aca="true" t="shared" si="83" ref="E371:O371">E372</f>
        <v>336200</v>
      </c>
      <c r="F371" s="88">
        <f t="shared" si="83"/>
        <v>336200</v>
      </c>
      <c r="G371" s="88">
        <f t="shared" si="83"/>
        <v>0</v>
      </c>
      <c r="H371" s="88">
        <f t="shared" si="83"/>
        <v>0</v>
      </c>
      <c r="I371" s="88">
        <f t="shared" si="83"/>
        <v>0</v>
      </c>
      <c r="J371" s="88">
        <f t="shared" si="83"/>
        <v>336200</v>
      </c>
      <c r="K371" s="88">
        <f t="shared" si="83"/>
        <v>0</v>
      </c>
      <c r="L371" s="88">
        <f t="shared" si="83"/>
        <v>0</v>
      </c>
      <c r="M371" s="88">
        <f t="shared" si="83"/>
        <v>0</v>
      </c>
      <c r="N371" s="88">
        <f t="shared" si="83"/>
        <v>0</v>
      </c>
      <c r="O371" s="88">
        <f t="shared" si="83"/>
        <v>0</v>
      </c>
    </row>
    <row r="372" spans="1:16" ht="47.25">
      <c r="A372" s="94"/>
      <c r="B372" s="95"/>
      <c r="C372" s="95">
        <v>2820</v>
      </c>
      <c r="D372" s="1" t="s">
        <v>612</v>
      </c>
      <c r="E372" s="96">
        <f>F372+O372</f>
        <v>336200</v>
      </c>
      <c r="F372" s="71">
        <f>SUM(G372:N372)</f>
        <v>336200</v>
      </c>
      <c r="G372" s="71"/>
      <c r="H372" s="192"/>
      <c r="I372" s="192"/>
      <c r="J372" s="96">
        <f>'zał 27'!E24</f>
        <v>336200</v>
      </c>
      <c r="K372" s="96"/>
      <c r="L372" s="96"/>
      <c r="M372" s="104"/>
      <c r="N372" s="177"/>
      <c r="O372" s="192"/>
      <c r="P372" s="195"/>
    </row>
    <row r="373" spans="1:15" ht="15.75">
      <c r="A373" s="94"/>
      <c r="B373" s="94">
        <v>92695</v>
      </c>
      <c r="C373" s="94"/>
      <c r="D373" s="66" t="s">
        <v>306</v>
      </c>
      <c r="E373" s="88">
        <f aca="true" t="shared" si="84" ref="E373:O373">SUM(E374:E379)</f>
        <v>207511</v>
      </c>
      <c r="F373" s="88">
        <f t="shared" si="84"/>
        <v>113947</v>
      </c>
      <c r="G373" s="88">
        <f t="shared" si="84"/>
        <v>0</v>
      </c>
      <c r="H373" s="88">
        <f t="shared" si="84"/>
        <v>0</v>
      </c>
      <c r="I373" s="88">
        <f t="shared" si="84"/>
        <v>0</v>
      </c>
      <c r="J373" s="88">
        <f t="shared" si="84"/>
        <v>2800</v>
      </c>
      <c r="K373" s="88">
        <f t="shared" si="84"/>
        <v>0</v>
      </c>
      <c r="L373" s="88">
        <f t="shared" si="84"/>
        <v>0</v>
      </c>
      <c r="M373" s="88">
        <f t="shared" si="84"/>
        <v>0</v>
      </c>
      <c r="N373" s="88">
        <f t="shared" si="84"/>
        <v>0</v>
      </c>
      <c r="O373" s="88">
        <f t="shared" si="84"/>
        <v>93564</v>
      </c>
    </row>
    <row r="374" spans="1:15" ht="47.25">
      <c r="A374" s="95"/>
      <c r="B374" s="95"/>
      <c r="C374" s="95">
        <v>2320</v>
      </c>
      <c r="D374" s="1" t="s">
        <v>633</v>
      </c>
      <c r="E374" s="96">
        <f aca="true" t="shared" si="85" ref="E374:E379">F374+O374</f>
        <v>2800</v>
      </c>
      <c r="F374" s="71">
        <f>SUM(G374:N374)</f>
        <v>2800</v>
      </c>
      <c r="G374" s="71"/>
      <c r="H374" s="192"/>
      <c r="I374" s="192"/>
      <c r="J374" s="96">
        <f>'zał 26'!E19</f>
        <v>2800</v>
      </c>
      <c r="K374" s="96"/>
      <c r="L374" s="96"/>
      <c r="M374" s="177"/>
      <c r="N374" s="177"/>
      <c r="O374" s="192"/>
    </row>
    <row r="375" spans="1:15" ht="15.75">
      <c r="A375" s="95"/>
      <c r="B375" s="95"/>
      <c r="C375" s="95">
        <v>4210</v>
      </c>
      <c r="D375" s="1" t="s">
        <v>485</v>
      </c>
      <c r="E375" s="96">
        <f t="shared" si="85"/>
        <v>33547</v>
      </c>
      <c r="F375" s="190">
        <f>1000+200+1647+400+2500+1100+26700</f>
        <v>33547</v>
      </c>
      <c r="G375" s="71"/>
      <c r="H375" s="192"/>
      <c r="I375"/>
      <c r="J375" s="192"/>
      <c r="K375" s="192"/>
      <c r="L375" s="192"/>
      <c r="M375" s="177"/>
      <c r="N375" s="177"/>
      <c r="O375" s="192"/>
    </row>
    <row r="376" spans="1:15" ht="15.75">
      <c r="A376" s="95"/>
      <c r="B376" s="95"/>
      <c r="C376" s="95">
        <v>4270</v>
      </c>
      <c r="D376" s="1" t="s">
        <v>489</v>
      </c>
      <c r="E376" s="96">
        <f t="shared" si="85"/>
        <v>5000</v>
      </c>
      <c r="F376" s="96">
        <f>5000</f>
        <v>5000</v>
      </c>
      <c r="G376" s="71"/>
      <c r="H376" s="192"/>
      <c r="I376" s="192"/>
      <c r="J376" s="192"/>
      <c r="K376" s="192"/>
      <c r="L376" s="192"/>
      <c r="M376" s="177"/>
      <c r="N376" s="177"/>
      <c r="O376" s="192"/>
    </row>
    <row r="377" spans="1:15" ht="15.75">
      <c r="A377" s="95"/>
      <c r="B377" s="95"/>
      <c r="C377" s="95">
        <v>4300</v>
      </c>
      <c r="D377" s="1" t="s">
        <v>509</v>
      </c>
      <c r="E377" s="96">
        <f t="shared" si="85"/>
        <v>72600</v>
      </c>
      <c r="F377" s="96">
        <f>68600+4000</f>
        <v>72600</v>
      </c>
      <c r="G377" s="71"/>
      <c r="H377" s="192"/>
      <c r="I377" s="192"/>
      <c r="J377" s="192"/>
      <c r="K377" s="192"/>
      <c r="L377" s="192"/>
      <c r="M377" s="177"/>
      <c r="N377" s="177"/>
      <c r="O377" s="192"/>
    </row>
    <row r="378" spans="1:15" ht="31.5">
      <c r="A378" s="95"/>
      <c r="B378" s="95"/>
      <c r="C378" s="95">
        <v>6050</v>
      </c>
      <c r="D378" s="1" t="s">
        <v>482</v>
      </c>
      <c r="E378" s="96">
        <f t="shared" si="85"/>
        <v>8564</v>
      </c>
      <c r="F378" s="71">
        <f>SUM(G378:N378)</f>
        <v>0</v>
      </c>
      <c r="G378" s="71"/>
      <c r="H378" s="192"/>
      <c r="I378" s="192"/>
      <c r="J378" s="192"/>
      <c r="K378" s="192"/>
      <c r="L378" s="192"/>
      <c r="M378" s="177"/>
      <c r="N378" s="177"/>
      <c r="O378" s="96">
        <f>'zał 11'!E75</f>
        <v>8564</v>
      </c>
    </row>
    <row r="379" spans="1:15" ht="31.5">
      <c r="A379" s="95"/>
      <c r="B379" s="95"/>
      <c r="C379" s="95">
        <v>6060</v>
      </c>
      <c r="D379" s="1" t="s">
        <v>588</v>
      </c>
      <c r="E379" s="96">
        <f t="shared" si="85"/>
        <v>85000</v>
      </c>
      <c r="F379" s="71">
        <f>SUM(G379:N379)</f>
        <v>0</v>
      </c>
      <c r="G379" s="71"/>
      <c r="H379" s="192"/>
      <c r="I379" s="192"/>
      <c r="J379" s="192"/>
      <c r="K379" s="192"/>
      <c r="L379" s="192"/>
      <c r="M379" s="177"/>
      <c r="N379" s="177"/>
      <c r="O379" s="96">
        <f>'zał 11'!E77</f>
        <v>85000</v>
      </c>
    </row>
    <row r="380" spans="1:15" ht="29.25" customHeight="1">
      <c r="A380" s="745" t="s">
        <v>434</v>
      </c>
      <c r="B380" s="745"/>
      <c r="C380" s="745"/>
      <c r="D380" s="745"/>
      <c r="E380" s="88">
        <f aca="true" t="shared" si="86" ref="E380:O380">E368+E351+E327+E323+E260+E240+E119+E114+E109+E105+E91+E49+E38+E29+E16+E12+E9</f>
        <v>50805495.781518996</v>
      </c>
      <c r="F380" s="88">
        <f t="shared" si="86"/>
        <v>35512202.781518996</v>
      </c>
      <c r="G380" s="88">
        <f t="shared" si="86"/>
        <v>16735380.6</v>
      </c>
      <c r="H380" s="88">
        <f t="shared" si="86"/>
        <v>2917363.7320000003</v>
      </c>
      <c r="I380" s="88">
        <f t="shared" si="86"/>
        <v>3620625.324689</v>
      </c>
      <c r="J380" s="88">
        <f t="shared" si="86"/>
        <v>2615535</v>
      </c>
      <c r="K380" s="88">
        <f t="shared" si="86"/>
        <v>2136896</v>
      </c>
      <c r="L380" s="88">
        <f t="shared" si="86"/>
        <v>0</v>
      </c>
      <c r="M380" s="88">
        <f t="shared" si="86"/>
        <v>1025521</v>
      </c>
      <c r="N380" s="88">
        <f t="shared" si="86"/>
        <v>0</v>
      </c>
      <c r="O380" s="88">
        <f t="shared" si="86"/>
        <v>15293293</v>
      </c>
    </row>
    <row r="383" ht="15.75">
      <c r="N383" s="152"/>
    </row>
    <row r="384" ht="15.75">
      <c r="E384" s="196"/>
    </row>
    <row r="385" ht="15.75">
      <c r="E385" s="197"/>
    </row>
  </sheetData>
  <mergeCells count="20">
    <mergeCell ref="A350:O350"/>
    <mergeCell ref="A380:D380"/>
    <mergeCell ref="G5:N5"/>
    <mergeCell ref="O5:O7"/>
    <mergeCell ref="G6:I6"/>
    <mergeCell ref="J6:J7"/>
    <mergeCell ref="K6:K7"/>
    <mergeCell ref="L6:L7"/>
    <mergeCell ref="M6:M7"/>
    <mergeCell ref="N6:N7"/>
    <mergeCell ref="A1:O1"/>
    <mergeCell ref="A2:O2"/>
    <mergeCell ref="A3:D3"/>
    <mergeCell ref="A4:A7"/>
    <mergeCell ref="B4:B7"/>
    <mergeCell ref="C4:C7"/>
    <mergeCell ref="D4:D7"/>
    <mergeCell ref="E4:E7"/>
    <mergeCell ref="F4:O4"/>
    <mergeCell ref="F5:F7"/>
  </mergeCells>
  <printOptions horizontalCentered="1" verticalCentered="1"/>
  <pageMargins left="0.5902777777777778" right="0.5902777777777778" top="0.5902777777777778" bottom="0.46319444444444446" header="0.5118055555555556" footer="0.2965277777777778"/>
  <pageSetup horizontalDpi="300" verticalDpi="300" orientation="landscape" paperSize="9" scale="74" r:id="rId1"/>
  <headerFooter alignWithMargins="0">
    <oddFooter>&amp;C&amp;"Times New Roman,Normalny"&amp;12Strona &amp;P z &amp;N</oddFooter>
  </headerFooter>
  <rowBreaks count="2" manualBreakCount="2">
    <brk id="310" max="255" man="1"/>
    <brk id="3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showGridLines="0" defaultGridColor="0" view="pageBreakPreview" zoomScale="90" zoomScaleSheetLayoutView="90" colorId="15" workbookViewId="0" topLeftCell="A1">
      <selection activeCell="A1" sqref="A1"/>
    </sheetView>
  </sheetViews>
  <sheetFormatPr defaultColWidth="9.00390625" defaultRowHeight="12.75"/>
  <cols>
    <col min="1" max="1" width="5.625" style="42" customWidth="1"/>
    <col min="2" max="2" width="8.75390625" style="42" customWidth="1"/>
    <col min="3" max="3" width="6.875" style="42" customWidth="1"/>
    <col min="4" max="4" width="44.875" style="101" customWidth="1"/>
    <col min="5" max="5" width="14.875" style="101" customWidth="1"/>
    <col min="6" max="6" width="10.625" style="101" customWidth="1"/>
    <col min="7" max="7" width="13.375" style="101" customWidth="1"/>
    <col min="8" max="10" width="10.625" style="101" customWidth="1"/>
    <col min="11" max="12" width="12.25390625" style="101" customWidth="1"/>
    <col min="13" max="16384" width="9.00390625" style="42" customWidth="1"/>
  </cols>
  <sheetData>
    <row r="1" spans="1:12" ht="24" customHeight="1">
      <c r="A1" s="746" t="s">
        <v>634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52.5" customHeight="1">
      <c r="A2" s="729" t="s">
        <v>635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ht="15.75">
      <c r="L3" s="198" t="s">
        <v>274</v>
      </c>
    </row>
    <row r="4" spans="1:12" ht="15" customHeight="1">
      <c r="A4" s="747" t="s">
        <v>275</v>
      </c>
      <c r="B4" s="747" t="s">
        <v>296</v>
      </c>
      <c r="C4" s="747" t="s">
        <v>297</v>
      </c>
      <c r="D4" s="748" t="s">
        <v>437</v>
      </c>
      <c r="E4" s="748" t="s">
        <v>463</v>
      </c>
      <c r="F4" s="749" t="s">
        <v>300</v>
      </c>
      <c r="G4" s="749"/>
      <c r="H4" s="749"/>
      <c r="I4" s="749"/>
      <c r="J4" s="749"/>
      <c r="K4" s="749"/>
      <c r="L4" s="749"/>
    </row>
    <row r="5" spans="1:12" s="165" customFormat="1" ht="13.5" customHeight="1">
      <c r="A5" s="747"/>
      <c r="B5" s="747"/>
      <c r="C5" s="747"/>
      <c r="D5" s="748"/>
      <c r="E5" s="748"/>
      <c r="F5" s="749" t="s">
        <v>636</v>
      </c>
      <c r="G5" s="749" t="s">
        <v>216</v>
      </c>
      <c r="H5" s="749"/>
      <c r="I5" s="749"/>
      <c r="J5" s="749"/>
      <c r="K5" s="749"/>
      <c r="L5" s="749" t="s">
        <v>465</v>
      </c>
    </row>
    <row r="6" spans="1:12" s="165" customFormat="1" ht="12.75" customHeight="1">
      <c r="A6" s="747"/>
      <c r="B6" s="747"/>
      <c r="C6" s="747"/>
      <c r="D6" s="748"/>
      <c r="E6" s="748"/>
      <c r="F6" s="748"/>
      <c r="G6" s="749" t="s">
        <v>466</v>
      </c>
      <c r="H6" s="749"/>
      <c r="I6" s="749"/>
      <c r="J6" s="749" t="s">
        <v>637</v>
      </c>
      <c r="K6" s="749" t="s">
        <v>468</v>
      </c>
      <c r="L6" s="749"/>
    </row>
    <row r="7" spans="1:12" s="165" customFormat="1" ht="60">
      <c r="A7" s="747"/>
      <c r="B7" s="747"/>
      <c r="C7" s="747"/>
      <c r="D7" s="748"/>
      <c r="E7" s="748"/>
      <c r="F7" s="748"/>
      <c r="G7" s="199" t="s">
        <v>472</v>
      </c>
      <c r="H7" s="199" t="s">
        <v>638</v>
      </c>
      <c r="I7" s="200" t="s">
        <v>474</v>
      </c>
      <c r="J7" s="749"/>
      <c r="K7" s="749"/>
      <c r="L7" s="749"/>
    </row>
    <row r="8" spans="1:12" s="105" customFormat="1" ht="12.75">
      <c r="A8" s="201">
        <v>1</v>
      </c>
      <c r="B8" s="201">
        <v>2</v>
      </c>
      <c r="C8" s="201">
        <v>3</v>
      </c>
      <c r="D8" s="202">
        <v>4</v>
      </c>
      <c r="E8" s="202">
        <v>5</v>
      </c>
      <c r="F8" s="202">
        <v>6</v>
      </c>
      <c r="G8" s="202">
        <v>7</v>
      </c>
      <c r="H8" s="202">
        <v>8</v>
      </c>
      <c r="I8" s="202">
        <v>9</v>
      </c>
      <c r="J8" s="202">
        <v>10</v>
      </c>
      <c r="K8" s="202">
        <v>11</v>
      </c>
      <c r="L8" s="202">
        <v>12</v>
      </c>
    </row>
    <row r="9" spans="1:12" ht="15.75">
      <c r="A9" s="63">
        <v>750</v>
      </c>
      <c r="B9" s="63"/>
      <c r="C9" s="63"/>
      <c r="D9" s="64" t="s">
        <v>330</v>
      </c>
      <c r="E9" s="55">
        <f aca="true" t="shared" si="0" ref="E9:L9">E10</f>
        <v>144799.96966</v>
      </c>
      <c r="F9" s="55">
        <f t="shared" si="0"/>
        <v>144799.96966</v>
      </c>
      <c r="G9" s="55">
        <f t="shared" si="0"/>
        <v>124033.3</v>
      </c>
      <c r="H9" s="55">
        <f t="shared" si="0"/>
        <v>20766.669660000003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</row>
    <row r="10" spans="1:12" s="85" customFormat="1" ht="15.75">
      <c r="A10" s="65"/>
      <c r="B10" s="65">
        <v>75011</v>
      </c>
      <c r="C10" s="65"/>
      <c r="D10" s="57" t="s">
        <v>331</v>
      </c>
      <c r="E10" s="58">
        <f aca="true" t="shared" si="1" ref="E10:L10">SUM(E11:E14)</f>
        <v>144799.96966</v>
      </c>
      <c r="F10" s="58">
        <f t="shared" si="1"/>
        <v>144799.96966</v>
      </c>
      <c r="G10" s="58">
        <f t="shared" si="1"/>
        <v>124033.3</v>
      </c>
      <c r="H10" s="58">
        <f t="shared" si="1"/>
        <v>20766.669660000003</v>
      </c>
      <c r="I10" s="58">
        <f t="shared" si="1"/>
        <v>0</v>
      </c>
      <c r="J10" s="58">
        <f t="shared" si="1"/>
        <v>0</v>
      </c>
      <c r="K10" s="58">
        <f t="shared" si="1"/>
        <v>0</v>
      </c>
      <c r="L10" s="58">
        <f t="shared" si="1"/>
        <v>0</v>
      </c>
    </row>
    <row r="11" spans="1:12" ht="15.75">
      <c r="A11" s="65"/>
      <c r="B11" s="67"/>
      <c r="C11" s="67">
        <v>4010</v>
      </c>
      <c r="D11" s="60" t="s">
        <v>500</v>
      </c>
      <c r="E11" s="61">
        <f>F11+L11</f>
        <v>114600</v>
      </c>
      <c r="F11" s="61">
        <f>SUM(G11:J11)</f>
        <v>114600</v>
      </c>
      <c r="G11" s="61">
        <v>114600</v>
      </c>
      <c r="H11" s="61"/>
      <c r="I11" s="61"/>
      <c r="J11" s="61"/>
      <c r="K11" s="61"/>
      <c r="L11" s="61"/>
    </row>
    <row r="12" spans="1:12" ht="15.75">
      <c r="A12" s="65"/>
      <c r="B12" s="67"/>
      <c r="C12" s="67">
        <v>4040</v>
      </c>
      <c r="D12" s="60" t="s">
        <v>501</v>
      </c>
      <c r="E12" s="61">
        <f>F12+L12</f>
        <v>9433.300000000001</v>
      </c>
      <c r="F12" s="61">
        <f>SUM(G12:J12)</f>
        <v>9433.300000000001</v>
      </c>
      <c r="G12" s="61">
        <f>110980*0.085</f>
        <v>9433.300000000001</v>
      </c>
      <c r="H12" s="61"/>
      <c r="I12" s="61"/>
      <c r="J12" s="61"/>
      <c r="K12" s="61"/>
      <c r="L12" s="61"/>
    </row>
    <row r="13" spans="1:12" ht="15.75">
      <c r="A13" s="65"/>
      <c r="B13" s="67"/>
      <c r="C13" s="67">
        <v>4110</v>
      </c>
      <c r="D13" s="60" t="s">
        <v>502</v>
      </c>
      <c r="E13" s="61">
        <f>F13+L13</f>
        <v>19303.564830000003</v>
      </c>
      <c r="F13" s="61">
        <f>SUM(G13:J13)</f>
        <v>19303.564830000003</v>
      </c>
      <c r="G13" s="61"/>
      <c r="H13" s="61">
        <f>G11*0.1551+G12*0.1551+66</f>
        <v>19303.564830000003</v>
      </c>
      <c r="I13" s="61"/>
      <c r="J13" s="61"/>
      <c r="K13" s="61"/>
      <c r="L13" s="61"/>
    </row>
    <row r="14" spans="1:12" ht="15.75">
      <c r="A14" s="65"/>
      <c r="B14" s="67"/>
      <c r="C14" s="67">
        <v>4120</v>
      </c>
      <c r="D14" s="60" t="s">
        <v>503</v>
      </c>
      <c r="E14" s="61">
        <f>F14+L14</f>
        <v>1463.1048300000002</v>
      </c>
      <c r="F14" s="61">
        <f>SUM(G14:J14)</f>
        <v>1463.1048300000002</v>
      </c>
      <c r="G14" s="61"/>
      <c r="H14" s="61">
        <f>G12*0.1551+G13*0.1551</f>
        <v>1463.1048300000002</v>
      </c>
      <c r="I14" s="61"/>
      <c r="J14" s="61"/>
      <c r="K14" s="61"/>
      <c r="L14" s="61"/>
    </row>
    <row r="15" spans="1:12" ht="15.75">
      <c r="A15" s="63">
        <v>852</v>
      </c>
      <c r="B15" s="63"/>
      <c r="C15" s="63"/>
      <c r="D15" s="64" t="s">
        <v>411</v>
      </c>
      <c r="E15" s="55">
        <f aca="true" t="shared" si="2" ref="E15:L15">E16+E35+E52+E54</f>
        <v>5651999.784</v>
      </c>
      <c r="F15" s="55">
        <f t="shared" si="2"/>
        <v>5651999.784</v>
      </c>
      <c r="G15" s="55">
        <f t="shared" si="2"/>
        <v>394860</v>
      </c>
      <c r="H15" s="55">
        <f t="shared" si="2"/>
        <v>67456.784</v>
      </c>
      <c r="I15" s="55">
        <f t="shared" si="2"/>
        <v>0</v>
      </c>
      <c r="J15" s="55">
        <f t="shared" si="2"/>
        <v>0</v>
      </c>
      <c r="K15" s="55">
        <f t="shared" si="2"/>
        <v>5054853</v>
      </c>
      <c r="L15" s="55">
        <f t="shared" si="2"/>
        <v>0</v>
      </c>
    </row>
    <row r="16" spans="1:12" ht="15.75">
      <c r="A16" s="65"/>
      <c r="B16" s="65">
        <v>85203</v>
      </c>
      <c r="C16" s="65"/>
      <c r="D16" s="57" t="s">
        <v>441</v>
      </c>
      <c r="E16" s="58">
        <f aca="true" t="shared" si="3" ref="E16:L16">SUM(E17:E33)</f>
        <v>327999.64</v>
      </c>
      <c r="F16" s="58">
        <f t="shared" si="3"/>
        <v>327999.64</v>
      </c>
      <c r="G16" s="58">
        <f t="shared" si="3"/>
        <v>209400</v>
      </c>
      <c r="H16" s="58">
        <f t="shared" si="3"/>
        <v>34699.64</v>
      </c>
      <c r="I16" s="58">
        <f t="shared" si="3"/>
        <v>0</v>
      </c>
      <c r="J16" s="58">
        <f t="shared" si="3"/>
        <v>0</v>
      </c>
      <c r="K16" s="58">
        <f t="shared" si="3"/>
        <v>0</v>
      </c>
      <c r="L16" s="58">
        <f t="shared" si="3"/>
        <v>0</v>
      </c>
    </row>
    <row r="17" spans="1:12" ht="15.75">
      <c r="A17" s="203"/>
      <c r="B17" s="67"/>
      <c r="C17" s="67">
        <v>4010</v>
      </c>
      <c r="D17" s="60" t="s">
        <v>500</v>
      </c>
      <c r="E17" s="61">
        <f aca="true" t="shared" si="4" ref="E17:E33">F17+L17</f>
        <v>183000</v>
      </c>
      <c r="F17" s="61">
        <f>SUM(G17:J17)</f>
        <v>183000</v>
      </c>
      <c r="G17" s="61">
        <v>183000</v>
      </c>
      <c r="H17" s="61"/>
      <c r="I17" s="61"/>
      <c r="J17" s="61"/>
      <c r="K17" s="61"/>
      <c r="L17" s="61"/>
    </row>
    <row r="18" spans="1:12" ht="15.75">
      <c r="A18" s="203"/>
      <c r="B18" s="67"/>
      <c r="C18" s="67">
        <v>4040</v>
      </c>
      <c r="D18" s="60" t="s">
        <v>501</v>
      </c>
      <c r="E18" s="61">
        <f t="shared" si="4"/>
        <v>12100</v>
      </c>
      <c r="F18" s="61">
        <f>SUM(G18:J18)</f>
        <v>12100</v>
      </c>
      <c r="G18" s="61">
        <v>12100</v>
      </c>
      <c r="H18" s="61"/>
      <c r="I18" s="61"/>
      <c r="J18" s="61"/>
      <c r="K18" s="61"/>
      <c r="L18" s="61"/>
    </row>
    <row r="19" spans="1:12" ht="15.75">
      <c r="A19" s="203"/>
      <c r="B19" s="67"/>
      <c r="C19" s="67">
        <v>4110</v>
      </c>
      <c r="D19" s="60" t="s">
        <v>502</v>
      </c>
      <c r="E19" s="61">
        <f t="shared" si="4"/>
        <v>29919.690000000002</v>
      </c>
      <c r="F19" s="61">
        <f>SUM(G19:J19)</f>
        <v>29919.690000000002</v>
      </c>
      <c r="G19" s="61"/>
      <c r="H19" s="61">
        <f>(G17+G18)*0.1519+284</f>
        <v>29919.690000000002</v>
      </c>
      <c r="I19" s="61"/>
      <c r="J19" s="61"/>
      <c r="K19" s="61"/>
      <c r="L19" s="61"/>
    </row>
    <row r="20" spans="1:12" ht="15.75">
      <c r="A20" s="203"/>
      <c r="B20" s="67"/>
      <c r="C20" s="67">
        <v>4120</v>
      </c>
      <c r="D20" s="60" t="s">
        <v>503</v>
      </c>
      <c r="E20" s="61">
        <f t="shared" si="4"/>
        <v>4779.95</v>
      </c>
      <c r="F20" s="61">
        <f>SUM(G20:J20)</f>
        <v>4779.95</v>
      </c>
      <c r="G20" s="61"/>
      <c r="H20" s="61">
        <f>(G18+G17)*0.0245</f>
        <v>4779.95</v>
      </c>
      <c r="I20" s="61"/>
      <c r="J20" s="61"/>
      <c r="K20" s="61"/>
      <c r="L20" s="61"/>
    </row>
    <row r="21" spans="1:12" ht="15.75">
      <c r="A21" s="203"/>
      <c r="B21" s="67"/>
      <c r="C21" s="67">
        <v>4170</v>
      </c>
      <c r="D21" s="60" t="s">
        <v>505</v>
      </c>
      <c r="E21" s="61">
        <f t="shared" si="4"/>
        <v>14300</v>
      </c>
      <c r="F21" s="61">
        <f>SUM(G21:J21)</f>
        <v>14300</v>
      </c>
      <c r="G21" s="61">
        <v>14300</v>
      </c>
      <c r="H21" s="61"/>
      <c r="I21" s="61"/>
      <c r="J21" s="61"/>
      <c r="K21" s="61"/>
      <c r="L21" s="61"/>
    </row>
    <row r="22" spans="1:12" ht="15.75">
      <c r="A22" s="203"/>
      <c r="B22" s="67"/>
      <c r="C22" s="67">
        <v>4210</v>
      </c>
      <c r="D22" s="60" t="s">
        <v>485</v>
      </c>
      <c r="E22" s="61">
        <f t="shared" si="4"/>
        <v>24600</v>
      </c>
      <c r="F22" s="61">
        <v>24600</v>
      </c>
      <c r="G22" s="61"/>
      <c r="H22" s="61"/>
      <c r="I22" s="61"/>
      <c r="J22" s="61"/>
      <c r="K22" s="61"/>
      <c r="L22" s="61"/>
    </row>
    <row r="23" spans="1:12" ht="15.75">
      <c r="A23" s="203"/>
      <c r="B23" s="67"/>
      <c r="C23" s="67">
        <v>4260</v>
      </c>
      <c r="D23" s="60" t="s">
        <v>547</v>
      </c>
      <c r="E23" s="61">
        <f t="shared" si="4"/>
        <v>17820</v>
      </c>
      <c r="F23" s="61">
        <v>17820</v>
      </c>
      <c r="G23" s="61"/>
      <c r="H23" s="61"/>
      <c r="I23" s="61"/>
      <c r="J23" s="61"/>
      <c r="K23" s="61"/>
      <c r="L23" s="61"/>
    </row>
    <row r="24" spans="1:12" ht="15.75">
      <c r="A24" s="203"/>
      <c r="B24" s="67"/>
      <c r="C24" s="67">
        <v>4270</v>
      </c>
      <c r="D24" s="60" t="s">
        <v>489</v>
      </c>
      <c r="E24" s="61">
        <f t="shared" si="4"/>
        <v>8000</v>
      </c>
      <c r="F24" s="61">
        <v>8000</v>
      </c>
      <c r="G24" s="61"/>
      <c r="H24" s="61"/>
      <c r="I24" s="61"/>
      <c r="J24" s="61"/>
      <c r="K24" s="61"/>
      <c r="L24" s="61"/>
    </row>
    <row r="25" spans="1:12" ht="15.75">
      <c r="A25" s="203"/>
      <c r="B25" s="67"/>
      <c r="C25" s="67">
        <v>4280</v>
      </c>
      <c r="D25" s="60" t="s">
        <v>508</v>
      </c>
      <c r="E25" s="61">
        <f t="shared" si="4"/>
        <v>200</v>
      </c>
      <c r="F25" s="61">
        <v>200</v>
      </c>
      <c r="G25" s="61"/>
      <c r="H25" s="61"/>
      <c r="I25" s="61"/>
      <c r="J25" s="61"/>
      <c r="K25" s="61"/>
      <c r="L25" s="61"/>
    </row>
    <row r="26" spans="1:12" ht="15.75">
      <c r="A26" s="203"/>
      <c r="B26" s="67"/>
      <c r="C26" s="67">
        <v>4300</v>
      </c>
      <c r="D26" s="60" t="s">
        <v>481</v>
      </c>
      <c r="E26" s="61">
        <f t="shared" si="4"/>
        <v>15180</v>
      </c>
      <c r="F26" s="61">
        <v>15180</v>
      </c>
      <c r="G26" s="61"/>
      <c r="H26" s="61"/>
      <c r="I26" s="61"/>
      <c r="J26" s="61"/>
      <c r="K26" s="61"/>
      <c r="L26" s="61"/>
    </row>
    <row r="27" spans="1:12" ht="15.75">
      <c r="A27" s="203"/>
      <c r="B27" s="67"/>
      <c r="C27" s="67">
        <v>4350</v>
      </c>
      <c r="D27" s="60" t="s">
        <v>510</v>
      </c>
      <c r="E27" s="61">
        <f t="shared" si="4"/>
        <v>600</v>
      </c>
      <c r="F27" s="61">
        <v>600</v>
      </c>
      <c r="G27" s="61"/>
      <c r="H27" s="61"/>
      <c r="I27" s="61"/>
      <c r="J27" s="61"/>
      <c r="K27" s="61"/>
      <c r="L27" s="61"/>
    </row>
    <row r="28" spans="1:12" ht="31.5">
      <c r="A28" s="203"/>
      <c r="B28" s="67"/>
      <c r="C28" s="67">
        <v>4370</v>
      </c>
      <c r="D28" s="60" t="s">
        <v>639</v>
      </c>
      <c r="E28" s="61">
        <f t="shared" si="4"/>
        <v>2800</v>
      </c>
      <c r="F28" s="61">
        <v>2800</v>
      </c>
      <c r="G28" s="61"/>
      <c r="H28" s="61"/>
      <c r="I28" s="61"/>
      <c r="J28" s="61"/>
      <c r="K28" s="61"/>
      <c r="L28" s="61"/>
    </row>
    <row r="29" spans="1:12" ht="15.75">
      <c r="A29" s="203"/>
      <c r="B29" s="67"/>
      <c r="C29" s="67">
        <v>4410</v>
      </c>
      <c r="D29" s="60" t="s">
        <v>515</v>
      </c>
      <c r="E29" s="61">
        <f t="shared" si="4"/>
        <v>0</v>
      </c>
      <c r="F29" s="61"/>
      <c r="G29" s="61"/>
      <c r="H29" s="61"/>
      <c r="I29" s="61"/>
      <c r="J29" s="61"/>
      <c r="K29" s="61"/>
      <c r="L29" s="61"/>
    </row>
    <row r="30" spans="1:12" ht="15.75">
      <c r="A30" s="203"/>
      <c r="B30" s="67"/>
      <c r="C30" s="67">
        <v>4430</v>
      </c>
      <c r="D30" s="60" t="s">
        <v>491</v>
      </c>
      <c r="E30" s="61">
        <f t="shared" si="4"/>
        <v>2600</v>
      </c>
      <c r="F30" s="61">
        <v>2600</v>
      </c>
      <c r="G30" s="61"/>
      <c r="H30" s="61"/>
      <c r="I30" s="61"/>
      <c r="J30" s="61"/>
      <c r="K30" s="61"/>
      <c r="L30" s="61"/>
    </row>
    <row r="31" spans="1:12" ht="31.5">
      <c r="A31" s="203"/>
      <c r="B31" s="67"/>
      <c r="C31" s="67">
        <v>4440</v>
      </c>
      <c r="D31" s="60" t="s">
        <v>557</v>
      </c>
      <c r="E31" s="61">
        <f t="shared" si="4"/>
        <v>10800</v>
      </c>
      <c r="F31" s="61">
        <v>10800</v>
      </c>
      <c r="G31" s="61"/>
      <c r="H31" s="61"/>
      <c r="I31" s="61"/>
      <c r="J31" s="61"/>
      <c r="K31" s="61"/>
      <c r="L31" s="61"/>
    </row>
    <row r="32" spans="1:12" ht="31.5">
      <c r="A32" s="203"/>
      <c r="B32" s="67"/>
      <c r="C32" s="67">
        <v>4700</v>
      </c>
      <c r="D32" s="60" t="s">
        <v>519</v>
      </c>
      <c r="E32" s="61">
        <f t="shared" si="4"/>
        <v>800</v>
      </c>
      <c r="F32" s="61">
        <v>800</v>
      </c>
      <c r="G32" s="61"/>
      <c r="H32" s="61"/>
      <c r="I32" s="61"/>
      <c r="J32" s="61"/>
      <c r="K32" s="61"/>
      <c r="L32" s="61"/>
    </row>
    <row r="33" spans="1:12" ht="31.5">
      <c r="A33" s="203"/>
      <c r="B33" s="67"/>
      <c r="C33" s="67">
        <v>4740</v>
      </c>
      <c r="D33" s="60" t="s">
        <v>640</v>
      </c>
      <c r="E33" s="61">
        <f t="shared" si="4"/>
        <v>500</v>
      </c>
      <c r="F33" s="61">
        <v>500</v>
      </c>
      <c r="G33" s="61"/>
      <c r="H33" s="61"/>
      <c r="I33" s="61"/>
      <c r="J33" s="61"/>
      <c r="K33" s="61"/>
      <c r="L33" s="61"/>
    </row>
    <row r="34" spans="1:12" ht="15" customHeight="1">
      <c r="A34" s="750" t="s">
        <v>641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</row>
    <row r="35" spans="1:12" ht="47.25">
      <c r="A35" s="204"/>
      <c r="B35" s="65">
        <v>85212</v>
      </c>
      <c r="C35" s="65"/>
      <c r="D35" s="57" t="s">
        <v>598</v>
      </c>
      <c r="E35" s="58">
        <f aca="true" t="shared" si="5" ref="E35:L35">SUM(E36:E51)</f>
        <v>5244999.792</v>
      </c>
      <c r="F35" s="58">
        <f t="shared" si="5"/>
        <v>5244999.792</v>
      </c>
      <c r="G35" s="58">
        <f t="shared" si="5"/>
        <v>128780</v>
      </c>
      <c r="H35" s="58">
        <f t="shared" si="5"/>
        <v>22716.792</v>
      </c>
      <c r="I35" s="58">
        <f t="shared" si="5"/>
        <v>0</v>
      </c>
      <c r="J35" s="58">
        <f t="shared" si="5"/>
        <v>0</v>
      </c>
      <c r="K35" s="58">
        <f t="shared" si="5"/>
        <v>5054853</v>
      </c>
      <c r="L35" s="58">
        <f t="shared" si="5"/>
        <v>0</v>
      </c>
    </row>
    <row r="36" spans="1:12" ht="15.75">
      <c r="A36" s="203"/>
      <c r="B36" s="67"/>
      <c r="C36" s="67">
        <v>3110</v>
      </c>
      <c r="D36" s="60" t="s">
        <v>604</v>
      </c>
      <c r="E36" s="61">
        <f aca="true" t="shared" si="6" ref="E36:E51">F36+L36</f>
        <v>5054853</v>
      </c>
      <c r="F36" s="61">
        <f>K36</f>
        <v>5054853</v>
      </c>
      <c r="G36" s="61"/>
      <c r="H36" s="61"/>
      <c r="I36" s="61"/>
      <c r="J36" s="61"/>
      <c r="K36" s="61">
        <f>5000000+403+50000+4450</f>
        <v>5054853</v>
      </c>
      <c r="L36" s="61"/>
    </row>
    <row r="37" spans="1:12" ht="15.75">
      <c r="A37" s="203"/>
      <c r="B37" s="67"/>
      <c r="C37" s="67">
        <v>4010</v>
      </c>
      <c r="D37" s="60" t="s">
        <v>500</v>
      </c>
      <c r="E37" s="61">
        <f t="shared" si="6"/>
        <v>117760</v>
      </c>
      <c r="F37" s="61">
        <f>SUM(G37:J37)</f>
        <v>117760</v>
      </c>
      <c r="G37" s="61">
        <v>117760</v>
      </c>
      <c r="H37" s="61"/>
      <c r="I37" s="61"/>
      <c r="J37" s="61"/>
      <c r="K37" s="61"/>
      <c r="L37" s="61"/>
    </row>
    <row r="38" spans="1:12" ht="15.75">
      <c r="A38" s="203"/>
      <c r="B38" s="67"/>
      <c r="C38" s="67">
        <v>4040</v>
      </c>
      <c r="D38" s="60" t="s">
        <v>501</v>
      </c>
      <c r="E38" s="61">
        <f t="shared" si="6"/>
        <v>11020</v>
      </c>
      <c r="F38" s="61">
        <f>SUM(G38:J38)</f>
        <v>11020</v>
      </c>
      <c r="G38" s="61">
        <v>11020</v>
      </c>
      <c r="H38" s="61"/>
      <c r="I38" s="61"/>
      <c r="J38" s="61"/>
      <c r="K38" s="61"/>
      <c r="L38" s="61"/>
    </row>
    <row r="39" spans="1:12" ht="15.75">
      <c r="A39" s="203"/>
      <c r="B39" s="67"/>
      <c r="C39" s="67">
        <v>4110</v>
      </c>
      <c r="D39" s="60" t="s">
        <v>502</v>
      </c>
      <c r="E39" s="61">
        <f t="shared" si="6"/>
        <v>19561.682</v>
      </c>
      <c r="F39" s="61">
        <f>SUM(G39:J39)</f>
        <v>19561.682</v>
      </c>
      <c r="G39" s="61"/>
      <c r="H39" s="61">
        <f>(G37+G38)*0.1519</f>
        <v>19561.682</v>
      </c>
      <c r="I39" s="61"/>
      <c r="J39" s="61"/>
      <c r="K39" s="61"/>
      <c r="L39" s="61"/>
    </row>
    <row r="40" spans="1:12" ht="15.75">
      <c r="A40" s="203"/>
      <c r="B40" s="67"/>
      <c r="C40" s="67">
        <v>4120</v>
      </c>
      <c r="D40" s="60" t="s">
        <v>503</v>
      </c>
      <c r="E40" s="61">
        <f t="shared" si="6"/>
        <v>3155.11</v>
      </c>
      <c r="F40" s="61">
        <f>SUM(G40:J40)</f>
        <v>3155.11</v>
      </c>
      <c r="G40" s="61"/>
      <c r="H40" s="61">
        <f>(G38+G37)*0.0245</f>
        <v>3155.11</v>
      </c>
      <c r="I40" s="61"/>
      <c r="J40" s="61"/>
      <c r="K40" s="61"/>
      <c r="L40" s="61"/>
    </row>
    <row r="41" spans="1:12" ht="15.75">
      <c r="A41" s="203"/>
      <c r="B41" s="67"/>
      <c r="C41" s="67">
        <v>4210</v>
      </c>
      <c r="D41" s="60" t="s">
        <v>485</v>
      </c>
      <c r="E41" s="61">
        <f t="shared" si="6"/>
        <v>5000</v>
      </c>
      <c r="F41" s="61">
        <v>5000</v>
      </c>
      <c r="G41" s="61"/>
      <c r="H41" s="61"/>
      <c r="I41" s="61"/>
      <c r="J41" s="61"/>
      <c r="K41" s="61"/>
      <c r="L41" s="61"/>
    </row>
    <row r="42" spans="1:12" ht="15.75">
      <c r="A42" s="203"/>
      <c r="B42" s="67"/>
      <c r="C42" s="67">
        <v>4280</v>
      </c>
      <c r="D42" s="60" t="s">
        <v>548</v>
      </c>
      <c r="E42" s="61">
        <f t="shared" si="6"/>
        <v>150</v>
      </c>
      <c r="F42" s="61">
        <v>150</v>
      </c>
      <c r="G42" s="61"/>
      <c r="H42" s="61"/>
      <c r="I42" s="61"/>
      <c r="J42" s="61"/>
      <c r="K42" s="61"/>
      <c r="L42" s="61"/>
    </row>
    <row r="43" spans="1:12" ht="15.75">
      <c r="A43" s="203"/>
      <c r="B43" s="67"/>
      <c r="C43" s="67">
        <v>4300</v>
      </c>
      <c r="D43" s="60" t="s">
        <v>481</v>
      </c>
      <c r="E43" s="61">
        <f t="shared" si="6"/>
        <v>19200</v>
      </c>
      <c r="F43" s="61">
        <v>19200</v>
      </c>
      <c r="G43" s="61"/>
      <c r="H43" s="61"/>
      <c r="I43" s="61"/>
      <c r="J43" s="61"/>
      <c r="K43" s="61"/>
      <c r="L43" s="61"/>
    </row>
    <row r="44" spans="1:12" ht="31.5">
      <c r="A44" s="203"/>
      <c r="B44" s="67"/>
      <c r="C44" s="67">
        <v>4370</v>
      </c>
      <c r="D44" s="60" t="s">
        <v>639</v>
      </c>
      <c r="E44" s="61">
        <f t="shared" si="6"/>
        <v>2500</v>
      </c>
      <c r="F44" s="61">
        <v>2500</v>
      </c>
      <c r="G44" s="61"/>
      <c r="H44" s="61"/>
      <c r="I44" s="61"/>
      <c r="J44" s="61"/>
      <c r="K44" s="61"/>
      <c r="L44" s="61"/>
    </row>
    <row r="45" spans="1:12" ht="15.75">
      <c r="A45" s="203"/>
      <c r="B45" s="67"/>
      <c r="C45" s="67">
        <v>4380</v>
      </c>
      <c r="D45" s="60" t="s">
        <v>513</v>
      </c>
      <c r="E45" s="61">
        <f t="shared" si="6"/>
        <v>300</v>
      </c>
      <c r="F45" s="61">
        <v>300</v>
      </c>
      <c r="G45" s="61"/>
      <c r="H45" s="61"/>
      <c r="I45" s="61"/>
      <c r="J45" s="61"/>
      <c r="K45" s="61"/>
      <c r="L45" s="61"/>
    </row>
    <row r="46" spans="1:12" ht="15.75">
      <c r="A46" s="203"/>
      <c r="B46" s="67"/>
      <c r="C46" s="67">
        <v>4410</v>
      </c>
      <c r="D46" s="60" t="s">
        <v>515</v>
      </c>
      <c r="E46" s="61">
        <f t="shared" si="6"/>
        <v>800</v>
      </c>
      <c r="F46" s="61">
        <v>800</v>
      </c>
      <c r="G46" s="61"/>
      <c r="H46" s="61"/>
      <c r="I46" s="61"/>
      <c r="J46" s="61"/>
      <c r="K46" s="61"/>
      <c r="L46" s="61"/>
    </row>
    <row r="47" spans="1:12" ht="15.75">
      <c r="A47" s="203"/>
      <c r="B47" s="67"/>
      <c r="C47" s="67">
        <v>4430</v>
      </c>
      <c r="D47" s="60" t="s">
        <v>491</v>
      </c>
      <c r="E47" s="61">
        <f t="shared" si="6"/>
        <v>1200</v>
      </c>
      <c r="F47" s="61">
        <v>1200</v>
      </c>
      <c r="G47" s="61"/>
      <c r="H47" s="61"/>
      <c r="I47" s="61"/>
      <c r="J47" s="61"/>
      <c r="K47" s="61"/>
      <c r="L47" s="61"/>
    </row>
    <row r="48" spans="1:12" ht="31.5">
      <c r="A48" s="203"/>
      <c r="B48" s="67"/>
      <c r="C48" s="67">
        <v>4440</v>
      </c>
      <c r="D48" s="60" t="s">
        <v>517</v>
      </c>
      <c r="E48" s="61">
        <f t="shared" si="6"/>
        <v>5500</v>
      </c>
      <c r="F48" s="61">
        <v>5500</v>
      </c>
      <c r="G48" s="61"/>
      <c r="H48" s="61"/>
      <c r="I48" s="61"/>
      <c r="J48" s="61"/>
      <c r="K48" s="61"/>
      <c r="L48" s="61"/>
    </row>
    <row r="49" spans="1:12" ht="31.5">
      <c r="A49" s="203"/>
      <c r="B49" s="67"/>
      <c r="C49" s="67">
        <v>4700</v>
      </c>
      <c r="D49" s="60" t="s">
        <v>597</v>
      </c>
      <c r="E49" s="61">
        <f t="shared" si="6"/>
        <v>1000</v>
      </c>
      <c r="F49" s="61">
        <v>1000</v>
      </c>
      <c r="G49" s="61"/>
      <c r="H49" s="61"/>
      <c r="I49" s="61"/>
      <c r="J49" s="61"/>
      <c r="K49" s="61"/>
      <c r="L49" s="61"/>
    </row>
    <row r="50" spans="1:12" ht="31.5">
      <c r="A50" s="203"/>
      <c r="B50" s="67"/>
      <c r="C50" s="67">
        <v>4740</v>
      </c>
      <c r="D50" s="60" t="s">
        <v>520</v>
      </c>
      <c r="E50" s="61">
        <f t="shared" si="6"/>
        <v>1200</v>
      </c>
      <c r="F50" s="61">
        <v>1200</v>
      </c>
      <c r="G50" s="61"/>
      <c r="H50" s="61"/>
      <c r="I50" s="61"/>
      <c r="J50" s="61"/>
      <c r="K50" s="61"/>
      <c r="L50" s="61"/>
    </row>
    <row r="51" spans="1:12" ht="31.5">
      <c r="A51" s="203"/>
      <c r="B51" s="67"/>
      <c r="C51" s="67">
        <v>4750</v>
      </c>
      <c r="D51" s="60" t="s">
        <v>521</v>
      </c>
      <c r="E51" s="61">
        <f t="shared" si="6"/>
        <v>1800</v>
      </c>
      <c r="F51" s="61">
        <v>1800</v>
      </c>
      <c r="G51" s="61"/>
      <c r="H51" s="61"/>
      <c r="I51" s="61"/>
      <c r="J51" s="61"/>
      <c r="K51" s="61"/>
      <c r="L51" s="61"/>
    </row>
    <row r="52" spans="1:12" ht="63">
      <c r="A52" s="204"/>
      <c r="B52" s="65">
        <v>85213</v>
      </c>
      <c r="C52" s="65"/>
      <c r="D52" s="57" t="s">
        <v>642</v>
      </c>
      <c r="E52" s="58">
        <f>E53</f>
        <v>6000</v>
      </c>
      <c r="F52" s="58">
        <f>F53</f>
        <v>6000</v>
      </c>
      <c r="G52" s="58">
        <f>G53</f>
        <v>0</v>
      </c>
      <c r="H52" s="58">
        <f>H53</f>
        <v>0</v>
      </c>
      <c r="I52" s="58"/>
      <c r="J52" s="58">
        <f>J53</f>
        <v>0</v>
      </c>
      <c r="K52" s="58"/>
      <c r="L52" s="58">
        <f>L53</f>
        <v>0</v>
      </c>
    </row>
    <row r="53" spans="1:12" ht="15.75">
      <c r="A53" s="203"/>
      <c r="B53" s="67"/>
      <c r="C53" s="67">
        <v>4130</v>
      </c>
      <c r="D53" s="60" t="s">
        <v>602</v>
      </c>
      <c r="E53" s="61">
        <f>F53</f>
        <v>6000</v>
      </c>
      <c r="F53" s="61">
        <v>6000</v>
      </c>
      <c r="G53" s="61"/>
      <c r="H53" s="61"/>
      <c r="I53" s="61"/>
      <c r="J53" s="61"/>
      <c r="K53" s="61"/>
      <c r="L53" s="61"/>
    </row>
    <row r="54" spans="1:12" ht="31.5">
      <c r="A54" s="205"/>
      <c r="B54" s="205">
        <v>85228</v>
      </c>
      <c r="C54" s="205"/>
      <c r="D54" s="206" t="s">
        <v>422</v>
      </c>
      <c r="E54" s="207">
        <f>SUM(E55:E59)+SUM(E60:E63)</f>
        <v>73000.352</v>
      </c>
      <c r="F54" s="207">
        <f>SUM(F55:F59)+SUM(F60:F63)</f>
        <v>73000.352</v>
      </c>
      <c r="G54" s="207">
        <f>SUM(G55:G59)+SUM(G60:G63)</f>
        <v>56680</v>
      </c>
      <c r="H54" s="207">
        <f>SUM(H55:H59)+SUM(H60:H63)</f>
        <v>10040.352</v>
      </c>
      <c r="I54" s="207"/>
      <c r="J54" s="207">
        <f>SUM(J55:J59)+SUM(J60:J63)</f>
        <v>0</v>
      </c>
      <c r="K54" s="207"/>
      <c r="L54" s="207">
        <f>SUM(L55:L59)+SUM(L60:L63)</f>
        <v>0</v>
      </c>
    </row>
    <row r="55" spans="1:12" ht="15.75">
      <c r="A55" s="208"/>
      <c r="B55" s="208"/>
      <c r="C55" s="208">
        <v>4010</v>
      </c>
      <c r="D55" s="173" t="s">
        <v>545</v>
      </c>
      <c r="E55" s="61">
        <f aca="true" t="shared" si="7" ref="E55:E63">F55+L55</f>
        <v>52500</v>
      </c>
      <c r="F55" s="61">
        <f>SUM(G55:J55)</f>
        <v>52500</v>
      </c>
      <c r="G55" s="209">
        <v>52500</v>
      </c>
      <c r="H55" s="61"/>
      <c r="I55" s="61"/>
      <c r="J55" s="61"/>
      <c r="K55" s="61"/>
      <c r="L55" s="61"/>
    </row>
    <row r="56" spans="1:12" ht="15.75">
      <c r="A56" s="208"/>
      <c r="B56" s="208"/>
      <c r="C56" s="208">
        <v>4040</v>
      </c>
      <c r="D56" s="173" t="s">
        <v>501</v>
      </c>
      <c r="E56" s="61">
        <f t="shared" si="7"/>
        <v>4180</v>
      </c>
      <c r="F56" s="61">
        <f>SUM(G56:J56)</f>
        <v>4180</v>
      </c>
      <c r="G56" s="209">
        <f>4180</f>
        <v>4180</v>
      </c>
      <c r="H56" s="61"/>
      <c r="I56" s="61"/>
      <c r="J56" s="61"/>
      <c r="K56" s="61"/>
      <c r="L56" s="61"/>
    </row>
    <row r="57" spans="1:12" ht="15.75">
      <c r="A57" s="208"/>
      <c r="B57" s="208"/>
      <c r="C57" s="208">
        <v>4110</v>
      </c>
      <c r="D57" s="173" t="s">
        <v>502</v>
      </c>
      <c r="E57" s="61">
        <f t="shared" si="7"/>
        <v>8651.692000000001</v>
      </c>
      <c r="F57" s="61">
        <f>SUM(G57:J57)</f>
        <v>8651.692000000001</v>
      </c>
      <c r="G57" s="61"/>
      <c r="H57" s="61">
        <f>(G55+G56)*0.1519+42</f>
        <v>8651.692000000001</v>
      </c>
      <c r="I57" s="61"/>
      <c r="J57" s="61"/>
      <c r="K57" s="61"/>
      <c r="L57" s="61"/>
    </row>
    <row r="58" spans="1:12" ht="15.75">
      <c r="A58" s="208"/>
      <c r="B58" s="208"/>
      <c r="C58" s="208">
        <v>4120</v>
      </c>
      <c r="D58" s="173" t="s">
        <v>503</v>
      </c>
      <c r="E58" s="61">
        <f t="shared" si="7"/>
        <v>1388.66</v>
      </c>
      <c r="F58" s="61">
        <f>SUM(G58:J58)</f>
        <v>1388.66</v>
      </c>
      <c r="G58" s="61"/>
      <c r="H58" s="61">
        <f>(G56+G55)*0.0245</f>
        <v>1388.66</v>
      </c>
      <c r="I58" s="61"/>
      <c r="J58" s="61"/>
      <c r="K58" s="61"/>
      <c r="L58" s="61"/>
    </row>
    <row r="59" spans="1:12" ht="15.75">
      <c r="A59" s="208"/>
      <c r="B59" s="208"/>
      <c r="C59" s="208">
        <v>4210</v>
      </c>
      <c r="D59" s="173" t="s">
        <v>485</v>
      </c>
      <c r="E59" s="61">
        <f t="shared" si="7"/>
        <v>900</v>
      </c>
      <c r="F59" s="209">
        <v>900</v>
      </c>
      <c r="G59" s="61"/>
      <c r="H59" s="61"/>
      <c r="I59" s="61"/>
      <c r="J59" s="61"/>
      <c r="K59" s="61"/>
      <c r="L59" s="61"/>
    </row>
    <row r="60" spans="1:12" ht="15.75">
      <c r="A60" s="208"/>
      <c r="B60" s="208"/>
      <c r="C60" s="208">
        <v>4280</v>
      </c>
      <c r="D60" s="173" t="s">
        <v>643</v>
      </c>
      <c r="E60" s="61">
        <f t="shared" si="7"/>
        <v>80</v>
      </c>
      <c r="F60" s="209">
        <v>80</v>
      </c>
      <c r="G60" s="58"/>
      <c r="H60" s="58"/>
      <c r="I60" s="58"/>
      <c r="J60" s="58"/>
      <c r="K60" s="58"/>
      <c r="L60" s="58"/>
    </row>
    <row r="61" spans="1:12" ht="15.75">
      <c r="A61" s="208"/>
      <c r="B61" s="208"/>
      <c r="C61" s="208">
        <v>4300</v>
      </c>
      <c r="D61" s="173" t="s">
        <v>569</v>
      </c>
      <c r="E61" s="61">
        <f t="shared" si="7"/>
        <v>1600</v>
      </c>
      <c r="F61" s="209">
        <v>1600</v>
      </c>
      <c r="G61" s="61"/>
      <c r="H61" s="61"/>
      <c r="I61" s="61"/>
      <c r="J61" s="61"/>
      <c r="K61" s="61"/>
      <c r="L61" s="61"/>
    </row>
    <row r="62" spans="1:12" ht="15.75">
      <c r="A62" s="208"/>
      <c r="B62" s="208"/>
      <c r="C62" s="208">
        <v>4410</v>
      </c>
      <c r="D62" s="173" t="s">
        <v>515</v>
      </c>
      <c r="E62" s="61">
        <f t="shared" si="7"/>
        <v>400</v>
      </c>
      <c r="F62" s="209">
        <v>400</v>
      </c>
      <c r="G62" s="61"/>
      <c r="H62" s="61"/>
      <c r="I62" s="61"/>
      <c r="J62" s="61"/>
      <c r="K62" s="61"/>
      <c r="L62" s="61"/>
    </row>
    <row r="63" spans="1:12" ht="31.5">
      <c r="A63" s="208"/>
      <c r="B63" s="208"/>
      <c r="C63" s="208">
        <v>4440</v>
      </c>
      <c r="D63" s="173" t="s">
        <v>517</v>
      </c>
      <c r="E63" s="61">
        <f t="shared" si="7"/>
        <v>3300</v>
      </c>
      <c r="F63" s="209">
        <v>3300</v>
      </c>
      <c r="G63" s="61"/>
      <c r="H63" s="61"/>
      <c r="I63" s="61"/>
      <c r="J63" s="61"/>
      <c r="K63" s="61"/>
      <c r="L63" s="61"/>
    </row>
    <row r="64" spans="1:12" ht="15" customHeight="1">
      <c r="A64" s="728" t="s">
        <v>434</v>
      </c>
      <c r="B64" s="728"/>
      <c r="C64" s="728"/>
      <c r="D64" s="728"/>
      <c r="E64" s="58">
        <f aca="true" t="shared" si="8" ref="E64:L64">E15+E9</f>
        <v>5796799.75366</v>
      </c>
      <c r="F64" s="58">
        <f t="shared" si="8"/>
        <v>5796799.75366</v>
      </c>
      <c r="G64" s="58">
        <f t="shared" si="8"/>
        <v>518893.3</v>
      </c>
      <c r="H64" s="58">
        <f t="shared" si="8"/>
        <v>88223.45366</v>
      </c>
      <c r="I64" s="58">
        <f t="shared" si="8"/>
        <v>0</v>
      </c>
      <c r="J64" s="58">
        <f t="shared" si="8"/>
        <v>0</v>
      </c>
      <c r="K64" s="58">
        <f t="shared" si="8"/>
        <v>5054853</v>
      </c>
      <c r="L64" s="58">
        <f t="shared" si="8"/>
        <v>0</v>
      </c>
    </row>
  </sheetData>
  <mergeCells count="16">
    <mergeCell ref="A34:L34"/>
    <mergeCell ref="A64:D64"/>
    <mergeCell ref="L5:L7"/>
    <mergeCell ref="G6:I6"/>
    <mergeCell ref="J6:J7"/>
    <mergeCell ref="K6:K7"/>
    <mergeCell ref="A1:L1"/>
    <mergeCell ref="A2:L2"/>
    <mergeCell ref="A4:A7"/>
    <mergeCell ref="B4:B7"/>
    <mergeCell ref="C4:C7"/>
    <mergeCell ref="D4:D7"/>
    <mergeCell ref="E4:E7"/>
    <mergeCell ref="F4:L4"/>
    <mergeCell ref="F5:F7"/>
    <mergeCell ref="G5:K5"/>
  </mergeCells>
  <printOptions horizontalCentered="1" verticalCentered="1"/>
  <pageMargins left="0.5902777777777778" right="0.5902777777777778" top="0.5902777777777778" bottom="0.6090277777777778" header="0.5118055555555556" footer="0.44236111111111115"/>
  <pageSetup horizontalDpi="300" verticalDpi="300" orientation="landscape" paperSize="9" scale="77" r:id="rId1"/>
  <headerFooter alignWithMargins="0">
    <oddFooter>&amp;C&amp;"Times New Roman,Normalny"&amp;12Strona &amp;P z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Podworska</cp:lastModifiedBy>
  <cp:lastPrinted>2009-11-16T07:34:07Z</cp:lastPrinted>
  <dcterms:created xsi:type="dcterms:W3CDTF">1998-12-09T13:02:10Z</dcterms:created>
  <dcterms:modified xsi:type="dcterms:W3CDTF">2009-11-16T09:36:30Z</dcterms:modified>
  <cp:category/>
  <cp:version/>
  <cp:contentType/>
  <cp:contentStatus/>
  <cp:revision>414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